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00" windowWidth="20736" windowHeight="7728" tabRatio="596" activeTab="0"/>
  </bookViews>
  <sheets>
    <sheet name="Read Me" sheetId="1" r:id="rId1"/>
    <sheet name="Species" sheetId="2" r:id="rId2"/>
    <sheet name="PSA 1-35 especies" sheetId="3" r:id="rId3"/>
    <sheet name="PSA  36-50 species" sheetId="4" r:id="rId4"/>
    <sheet name="PSA results and graph" sheetId="5" r:id="rId5"/>
  </sheets>
  <definedNames>
    <definedName name="_xlfn.AGGREGATE" hidden="1">#NAME?</definedName>
    <definedName name="Data1">'PSA 1-35 especies'!$L$30</definedName>
    <definedName name="Data10">'PSA 1-35 especies'!$BW$30</definedName>
    <definedName name="Data11">'PSA 1-35 especies'!$CD$30</definedName>
    <definedName name="Data12">'PSA 1-35 especies'!$CK$30</definedName>
    <definedName name="Data13">'PSA 1-35 especies'!$CR$30</definedName>
    <definedName name="Data14">'PSA 1-35 especies'!$CY$30</definedName>
    <definedName name="Data15">'PSA 1-35 especies'!$DF$30</definedName>
    <definedName name="Data16">'PSA 1-35 especies'!$DM$30</definedName>
    <definedName name="Data17">'PSA 1-35 especies'!$DT$30</definedName>
    <definedName name="Data18">'PSA 1-35 especies'!$EA$30</definedName>
    <definedName name="Data19">'PSA 1-35 especies'!$EH$30</definedName>
    <definedName name="Data2">'PSA 1-35 especies'!$S$30</definedName>
    <definedName name="Data20">'PSA 1-35 especies'!$EO$30</definedName>
    <definedName name="Data21">'PSA 1-35 especies'!$EV$30</definedName>
    <definedName name="Data22">'PSA 1-35 especies'!$FC$30</definedName>
    <definedName name="Data23">'PSA 1-35 especies'!$FJ$30</definedName>
    <definedName name="Data24">'PSA 1-35 especies'!$FQ$30</definedName>
    <definedName name="Data25">'PSA 1-35 especies'!$FX$30</definedName>
    <definedName name="Data26">'PSA 1-35 especies'!$GE$30</definedName>
    <definedName name="Data27">'PSA 1-35 especies'!$GL$30</definedName>
    <definedName name="Data28">'PSA 1-35 especies'!$GS$30</definedName>
    <definedName name="Data29">'PSA 1-35 especies'!$GZ$30</definedName>
    <definedName name="Data3">'PSA 1-35 especies'!$Z$30</definedName>
    <definedName name="Data30">'PSA 1-35 especies'!$HG$30</definedName>
    <definedName name="Data31">'PSA 1-35 especies'!$HN$30</definedName>
    <definedName name="Data32">'PSA 1-35 especies'!$HU$30</definedName>
    <definedName name="Data33">'PSA 1-35 especies'!$IB$30</definedName>
    <definedName name="Data34">'PSA 1-35 especies'!$II$30</definedName>
    <definedName name="Data35">'PSA 1-35 especies'!$IP$30</definedName>
    <definedName name="Data36">'PSA  36-50 species'!$M$30</definedName>
    <definedName name="Data37">'PSA  36-50 species'!$T$30</definedName>
    <definedName name="Data38">'PSA  36-50 species'!$AA$30</definedName>
    <definedName name="Data39">'PSA  36-50 species'!$AH$30</definedName>
    <definedName name="Data4">'PSA 1-35 especies'!$AG$30</definedName>
    <definedName name="Data40">'PSA  36-50 species'!$AO$30</definedName>
    <definedName name="Data41">'PSA  36-50 species'!$AV$30</definedName>
    <definedName name="Data42">'PSA  36-50 species'!$BC$30</definedName>
    <definedName name="Data43">'PSA  36-50 species'!$BJ$30</definedName>
    <definedName name="Data44">'PSA  36-50 species'!$BQ$30</definedName>
    <definedName name="Data45">'PSA  36-50 species'!$BX$30</definedName>
    <definedName name="Data46">'PSA  36-50 species'!$CE$30</definedName>
    <definedName name="Data47">'PSA  36-50 species'!$CL$30</definedName>
    <definedName name="Data48">'PSA  36-50 species'!$CS$30</definedName>
    <definedName name="Data49">'PSA  36-50 species'!$CZ$30</definedName>
    <definedName name="Data5">'PSA 1-35 especies'!$AN$30</definedName>
    <definedName name="Data50">'PSA  36-50 species'!$DG$30</definedName>
    <definedName name="Data6">'PSA 1-35 especies'!$AU$30</definedName>
    <definedName name="Data7">'PSA 1-35 especies'!$BB$30</definedName>
    <definedName name="Data8">'PSA 1-35 especies'!$BI$30</definedName>
    <definedName name="Data9">'PSA 1-35 especies'!$BP$30</definedName>
    <definedName name="Pdata1">'PSA 1-35 especies'!$L$14</definedName>
    <definedName name="Pdata10">'PSA 1-35 especies'!$BW$14</definedName>
    <definedName name="Pdata11">'PSA 1-35 especies'!$CD$14</definedName>
    <definedName name="Pdata12">'PSA 1-35 especies'!$CK$14</definedName>
    <definedName name="Pdata13">'PSA 1-35 especies'!$CR$14</definedName>
    <definedName name="Pdata14">'PSA 1-35 especies'!$CY$14</definedName>
    <definedName name="Pdata15">'PSA 1-35 especies'!$DF$14</definedName>
    <definedName name="Pdata16">'PSA 1-35 especies'!$DM$14</definedName>
    <definedName name="Pdata17">'PSA 1-35 especies'!$DT$14</definedName>
    <definedName name="Pdata18">'PSA 1-35 especies'!$EA$14</definedName>
    <definedName name="Pdata19">'PSA 1-35 especies'!$EH$14</definedName>
    <definedName name="Pdata2">'PSA 1-35 especies'!$S$14</definedName>
    <definedName name="Pdata20">'PSA 1-35 especies'!$EO$14</definedName>
    <definedName name="Pdata21">'PSA 1-35 especies'!$EV$14</definedName>
    <definedName name="Pdata22">'PSA 1-35 especies'!$FC$14</definedName>
    <definedName name="Pdata23">'PSA 1-35 especies'!$FJ$14</definedName>
    <definedName name="Pdata24">'PSA 1-35 especies'!$FQ$14</definedName>
    <definedName name="Pdata25">'PSA 1-35 especies'!$FX$14</definedName>
    <definedName name="Pdata26">'PSA 1-35 especies'!$GE$14</definedName>
    <definedName name="Pdata27">'PSA 1-35 especies'!$GL$14</definedName>
    <definedName name="Pdata28">'PSA 1-35 especies'!$GS$14</definedName>
    <definedName name="Pdata29">'PSA 1-35 especies'!$GZ$14</definedName>
    <definedName name="Pdata3">'PSA 1-35 especies'!$Z$14</definedName>
    <definedName name="Pdata30">'PSA 1-35 especies'!$HG$14</definedName>
    <definedName name="Pdata31">'PSA 1-35 especies'!$HN$14</definedName>
    <definedName name="Pdata32">'PSA 1-35 especies'!$HU$14</definedName>
    <definedName name="Pdata33">'PSA 1-35 especies'!$IB$14</definedName>
    <definedName name="Pdata34">'PSA 1-35 especies'!$II$14</definedName>
    <definedName name="Pdata35">'PSA 1-35 especies'!$IP$14</definedName>
    <definedName name="Pdata36">'PSA  36-50 species'!$M$14</definedName>
    <definedName name="Pdata37">'PSA  36-50 species'!$T$14</definedName>
    <definedName name="Pdata38">'PSA  36-50 species'!$AA$14</definedName>
    <definedName name="Pdata39">'PSA  36-50 species'!$AH$14</definedName>
    <definedName name="Pdata4">'PSA 1-35 especies'!$AG$14</definedName>
    <definedName name="Pdata40">'PSA  36-50 species'!$AO$14</definedName>
    <definedName name="Pdata41">'PSA  36-50 species'!$AV$14</definedName>
    <definedName name="Pdata42">'PSA  36-50 species'!$BC$14</definedName>
    <definedName name="Pdata43">'PSA  36-50 species'!$BJ$14</definedName>
    <definedName name="Pdata44">'PSA  36-50 species'!$BQ$14</definedName>
    <definedName name="Pdata45">'PSA  36-50 species'!$BX$14</definedName>
    <definedName name="Pdata46">'PSA  36-50 species'!$CE$14</definedName>
    <definedName name="Pdata47">'PSA  36-50 species'!$CL$14</definedName>
    <definedName name="Pdata48">'PSA  36-50 species'!$CS$14</definedName>
    <definedName name="Pdata49">'PSA  36-50 species'!$CZ$14</definedName>
    <definedName name="Pdata5">'PSA 1-35 especies'!$AN$14</definedName>
    <definedName name="Pdata50">'PSA  36-50 species'!$DG$14</definedName>
    <definedName name="Pdata6">'PSA 1-35 especies'!$AU$14</definedName>
    <definedName name="Pdata7">'PSA 1-35 especies'!$BB$14</definedName>
    <definedName name="Pdata8">'PSA 1-35 especies'!$BI$14</definedName>
    <definedName name="Pdata9">'PSA 1-35 especies'!$BP$14</definedName>
    <definedName name="Productivity1">'PSA 1-35 especies'!$J$14</definedName>
    <definedName name="Productivity10">'PSA 1-35 especies'!$BU$14</definedName>
    <definedName name="Productivity11">'PSA 1-35 especies'!$CB$14</definedName>
    <definedName name="Productivity12">'PSA 1-35 especies'!$CI$14</definedName>
    <definedName name="Productivity13">'PSA 1-35 especies'!$CP$14</definedName>
    <definedName name="Productivity14">'PSA 1-35 especies'!$CW$14</definedName>
    <definedName name="Productivity15">'PSA 1-35 especies'!$DD$14</definedName>
    <definedName name="Productivity16">'PSA 1-35 especies'!$DK$14</definedName>
    <definedName name="Productivity17">'PSA 1-35 especies'!$DR$14</definedName>
    <definedName name="Productivity18">'PSA 1-35 especies'!$DY$14</definedName>
    <definedName name="Productivity19">'PSA 1-35 especies'!$EF$14</definedName>
    <definedName name="Productivity2">'PSA 1-35 especies'!$Q$14</definedName>
    <definedName name="Productivity20">'PSA 1-35 especies'!$EM$14</definedName>
    <definedName name="Productivity21">'PSA 1-35 especies'!$ET$14</definedName>
    <definedName name="Productivity22">'PSA 1-35 especies'!$FA$14</definedName>
    <definedName name="Productivity23">'PSA 1-35 especies'!$FH$14</definedName>
    <definedName name="Productivity24">'PSA 1-35 especies'!$FO$14</definedName>
    <definedName name="productivity25">'PSA 1-35 especies'!$FV$14</definedName>
    <definedName name="productivity26">'PSA 1-35 especies'!$GC$14</definedName>
    <definedName name="Productivity27">'PSA 1-35 especies'!$GJ$14</definedName>
    <definedName name="Productivity28">'PSA 1-35 especies'!$GQ$14</definedName>
    <definedName name="Productivity29">'PSA 1-35 especies'!$GX$14</definedName>
    <definedName name="Productivity3">'PSA 1-35 especies'!$X$14</definedName>
    <definedName name="Productivity30">'PSA 1-35 especies'!$HE$14</definedName>
    <definedName name="Productivity31">'PSA 1-35 especies'!$HL$14</definedName>
    <definedName name="Productivity32">'PSA 1-35 especies'!$HS$14</definedName>
    <definedName name="Productivity33">'PSA 1-35 especies'!$HZ$14</definedName>
    <definedName name="Productivity34">'PSA 1-35 especies'!$IG$14</definedName>
    <definedName name="Productivity35">'PSA 1-35 especies'!$IN$14</definedName>
    <definedName name="Productivity36">'PSA  36-50 species'!$K$14</definedName>
    <definedName name="Productivity37">'PSA  36-50 species'!$R$14</definedName>
    <definedName name="Productivity38">'PSA  36-50 species'!$Y$14</definedName>
    <definedName name="Productivity39">'PSA  36-50 species'!$AF$14</definedName>
    <definedName name="Productivity4">'PSA 1-35 especies'!$AE$14</definedName>
    <definedName name="Productivity40">'PSA  36-50 species'!$AM$14</definedName>
    <definedName name="Productivity41">'PSA  36-50 species'!$AT$14</definedName>
    <definedName name="Productivity42">'PSA  36-50 species'!$BA$14</definedName>
    <definedName name="Productivity43">'PSA  36-50 species'!$BH$14</definedName>
    <definedName name="Productivity44">'PSA  36-50 species'!$BO$14</definedName>
    <definedName name="Productivity45">'PSA  36-50 species'!$BV$14</definedName>
    <definedName name="Productivity46">'PSA  36-50 species'!$CC$14</definedName>
    <definedName name="Productivity47">'PSA  36-50 species'!$CJ$14</definedName>
    <definedName name="Productivity48">'PSA  36-50 species'!$CQ$14</definedName>
    <definedName name="productivity49">'PSA  36-50 species'!$CX$14</definedName>
    <definedName name="Productivity5">'PSA 1-35 especies'!$AL$14</definedName>
    <definedName name="Productivity50">'PSA  36-50 species'!$DE$14</definedName>
    <definedName name="Productivity6">'PSA 1-35 especies'!$AS$14</definedName>
    <definedName name="Productivity7">'PSA 1-35 especies'!$AZ$14</definedName>
    <definedName name="Productivity8">'PSA 1-35 especies'!$BG$14</definedName>
    <definedName name="Productivity9">'PSA 1-35 especies'!$BN$14</definedName>
    <definedName name="Productivty47">'PSA  36-50 species'!$CJ$14</definedName>
    <definedName name="Sdata1">'PSA 1-35 especies'!$L$28</definedName>
    <definedName name="Sdata10">'PSA 1-35 especies'!$BW$28</definedName>
    <definedName name="Sdata11">'PSA 1-35 especies'!$CD$28</definedName>
    <definedName name="Sdata12">'PSA 1-35 especies'!$CK$28</definedName>
    <definedName name="Sdata13">'PSA 1-35 especies'!$CR$28</definedName>
    <definedName name="Sdata14">'PSA 1-35 especies'!$CY$28</definedName>
    <definedName name="Sdata15">'PSA 1-35 especies'!$DF$28</definedName>
    <definedName name="Sdata16">'PSA 1-35 especies'!$DM$28</definedName>
    <definedName name="Sdata17">'PSA 1-35 especies'!$DT$28</definedName>
    <definedName name="Sdata18">'PSA 1-35 especies'!$EA$28</definedName>
    <definedName name="Sdata19">'PSA 1-35 especies'!$EH$28</definedName>
    <definedName name="Sdata2">'PSA 1-35 especies'!$S$28</definedName>
    <definedName name="Sdata20">'PSA 1-35 especies'!$EO$28</definedName>
    <definedName name="Sdata21">'PSA 1-35 especies'!$EV$28</definedName>
    <definedName name="Sdata22">'PSA 1-35 especies'!$FC$28</definedName>
    <definedName name="Sdata23">'PSA 1-35 especies'!$FJ$28</definedName>
    <definedName name="Sdata24">'PSA 1-35 especies'!$FQ$28</definedName>
    <definedName name="Sdata25">'PSA 1-35 especies'!$FX$28</definedName>
    <definedName name="Sdata26">'PSA 1-35 especies'!$GE$28</definedName>
    <definedName name="Sdata27">'PSA 1-35 especies'!$GL$28</definedName>
    <definedName name="Sdata28">'PSA 1-35 especies'!$GS$28</definedName>
    <definedName name="Sdata29">'PSA 1-35 especies'!$GZ$28</definedName>
    <definedName name="Sdata3">'PSA 1-35 especies'!$Z$28</definedName>
    <definedName name="Sdata30">'PSA 1-35 especies'!$HG$28</definedName>
    <definedName name="Sdata31">'PSA 1-35 especies'!$HN$28</definedName>
    <definedName name="Sdata32">'PSA 1-35 especies'!$HU$28</definedName>
    <definedName name="Sdata33">'PSA 1-35 especies'!$IB$28</definedName>
    <definedName name="Sdata34">'PSA 1-35 especies'!$II$28</definedName>
    <definedName name="Sdata35">'PSA 1-35 especies'!$IP$28</definedName>
    <definedName name="Sdata36">'PSA  36-50 species'!$M$28</definedName>
    <definedName name="Sdata37">'PSA  36-50 species'!$T$28</definedName>
    <definedName name="Sdata38">'PSA  36-50 species'!$AA$28</definedName>
    <definedName name="Sdata39">'PSA  36-50 species'!$AH$28</definedName>
    <definedName name="Sdata4">'PSA 1-35 especies'!$AG$28</definedName>
    <definedName name="Sdata40">'PSA  36-50 species'!$AO$28</definedName>
    <definedName name="Sdata41">'PSA  36-50 species'!$AV$28</definedName>
    <definedName name="Sdata42">'PSA  36-50 species'!$BC$28</definedName>
    <definedName name="Sdata43">'PSA  36-50 species'!$BJ$28</definedName>
    <definedName name="Sdata44">'PSA  36-50 species'!$BQ$28</definedName>
    <definedName name="Sdata45">'PSA  36-50 species'!$BX$28</definedName>
    <definedName name="Sdata46">'PSA  36-50 species'!$CE$28</definedName>
    <definedName name="Sdata47">'PSA  36-50 species'!$CL$28</definedName>
    <definedName name="Sdata48">'PSA  36-50 species'!$CS$28</definedName>
    <definedName name="Sdata49">'PSA  36-50 species'!$CZ$28</definedName>
    <definedName name="Sdata5">'PSA 1-35 especies'!$AN$28</definedName>
    <definedName name="Sdata50">'PSA  36-50 species'!$DG$28</definedName>
    <definedName name="Sdata6">'PSA 1-35 especies'!$AU$28</definedName>
    <definedName name="Sdata7">'PSA 1-35 especies'!$BB$28</definedName>
    <definedName name="Sdata8">'PSA 1-35 especies'!$BI$28</definedName>
    <definedName name="Sdata9">'PSA 1-35 especies'!$BP$28</definedName>
    <definedName name="Suceptibility4">'PSA 1-35 especies'!$AE$28</definedName>
    <definedName name="Susceptibility1">'PSA 1-35 especies'!$J$28</definedName>
    <definedName name="Susceptibility10">'PSA 1-35 especies'!$BU$28</definedName>
    <definedName name="Susceptibility11">'PSA 1-35 especies'!$CB$28</definedName>
    <definedName name="Susceptibility12">'PSA 1-35 especies'!$CI$28</definedName>
    <definedName name="Susceptibility13">'PSA 1-35 especies'!$CP$28</definedName>
    <definedName name="Susceptibility14">'PSA 1-35 especies'!$CW$28</definedName>
    <definedName name="Susceptibility15">'PSA 1-35 especies'!$DD$28</definedName>
    <definedName name="Susceptibility16">'PSA 1-35 especies'!$DK$28</definedName>
    <definedName name="Susceptibility17">'PSA 1-35 especies'!$DR$28</definedName>
    <definedName name="Susceptibility18">'PSA 1-35 especies'!$DY$28</definedName>
    <definedName name="Susceptibility19">'PSA 1-35 especies'!$EF$28</definedName>
    <definedName name="Susceptibility2">'PSA 1-35 especies'!$Q$28</definedName>
    <definedName name="Susceptibility20">'PSA 1-35 especies'!$EM$28</definedName>
    <definedName name="Susceptibility21">'PSA 1-35 especies'!$ET$28</definedName>
    <definedName name="Susceptibility22">'PSA 1-35 especies'!$FA$28</definedName>
    <definedName name="Susceptibility23">'PSA 1-35 especies'!$FH$28</definedName>
    <definedName name="Susceptibility24">'PSA 1-35 especies'!$FO$28</definedName>
    <definedName name="Susceptibility25">'PSA 1-35 especies'!$FV$28</definedName>
    <definedName name="susceptibility26">'PSA 1-35 especies'!$GC$28</definedName>
    <definedName name="Susceptibility27">'PSA 1-35 especies'!$GJ$28</definedName>
    <definedName name="Susceptibility28">'PSA 1-35 especies'!$GQ$28</definedName>
    <definedName name="Susceptibility29">'PSA 1-35 especies'!$GX$28</definedName>
    <definedName name="Susceptibility3">'PSA 1-35 especies'!$X$28</definedName>
    <definedName name="Susceptibility30">'PSA 1-35 especies'!$HE$28</definedName>
    <definedName name="Susceptibility31">'PSA 1-35 especies'!$HL$28</definedName>
    <definedName name="Susceptibility32">'PSA 1-35 especies'!$HS$28</definedName>
    <definedName name="Susceptibility33">'PSA 1-35 especies'!$HZ$28</definedName>
    <definedName name="Susceptibility34">'PSA 1-35 especies'!$IG$28</definedName>
    <definedName name="Susceptibility35">'PSA 1-35 especies'!$IN$28</definedName>
    <definedName name="Susceptibility36">'PSA  36-50 species'!$K$28</definedName>
    <definedName name="Susceptibility37">'PSA  36-50 species'!$K$28</definedName>
    <definedName name="Susceptibility38">'PSA  36-50 species'!$Y$28</definedName>
    <definedName name="Susceptibility39">'PSA  36-50 species'!$AF$28</definedName>
    <definedName name="Susceptibility4">'PSA 1-35 especies'!$AE$28</definedName>
    <definedName name="Susceptibility40">'PSA  36-50 species'!$AM$28</definedName>
    <definedName name="Susceptibility41">'PSA  36-50 species'!$AT$28</definedName>
    <definedName name="Susceptibility42">'PSA  36-50 species'!$BA$28</definedName>
    <definedName name="Susceptibility43">'PSA  36-50 species'!$BH$28</definedName>
    <definedName name="Susceptibility44">'PSA  36-50 species'!$BO$28</definedName>
    <definedName name="Susceptibility45">'PSA  36-50 species'!$BV$28</definedName>
    <definedName name="Susceptibility46">'PSA  36-50 species'!$CC$28</definedName>
    <definedName name="Susceptibility47">'PSA  36-50 species'!$CJ$28</definedName>
    <definedName name="Susceptibility48">'PSA  36-50 species'!$CQ$28</definedName>
    <definedName name="Susceptibility49">'PSA  36-50 species'!$CX$28</definedName>
    <definedName name="Susceptibility5">'PSA 1-35 especies'!$AL$28</definedName>
    <definedName name="Susceptibility50">'PSA  36-50 species'!$DE$28</definedName>
    <definedName name="Susceptibility6">'PSA 1-35 especies'!$AS$28</definedName>
    <definedName name="Susceptibility7">'PSA 1-35 especies'!$AZ$28</definedName>
    <definedName name="Susceptibility8">'PSA 1-35 especies'!$BG$28</definedName>
    <definedName name="Susceptibility9">'PSA 1-35 especies'!$BN$28</definedName>
    <definedName name="Susceptiblity37">'PSA  36-50 species'!$R$28</definedName>
    <definedName name="Susceptiblity38">'PSA  36-50 species'!$R$28</definedName>
    <definedName name="Vulnerability1">'PSA 1-35 especies'!$H$29</definedName>
    <definedName name="Vulnerability10">'PSA 1-35 especies'!$BS$29</definedName>
    <definedName name="Vulnerability11">'PSA 1-35 especies'!$BZ$29</definedName>
    <definedName name="Vulnerability12">'PSA 1-35 especies'!$CG$29</definedName>
    <definedName name="Vulnerability13">'PSA 1-35 especies'!$CN$29</definedName>
    <definedName name="Vulnerability14">'PSA 1-35 especies'!$CU$29</definedName>
    <definedName name="Vulnerability15">'PSA 1-35 especies'!$DB$29</definedName>
    <definedName name="Vulnerability16">'PSA 1-35 especies'!$DI$29</definedName>
    <definedName name="Vulnerability17">'PSA 1-35 especies'!$DP$29</definedName>
    <definedName name="Vulnerability18">'PSA 1-35 especies'!$DW$29</definedName>
    <definedName name="Vulnerability19">'PSA 1-35 especies'!$ED$29</definedName>
    <definedName name="Vulnerability2">'PSA 1-35 especies'!$O$29</definedName>
    <definedName name="Vulnerability20">'PSA 1-35 especies'!$EK$29</definedName>
    <definedName name="Vulnerability21">'PSA 1-35 especies'!$ER$29</definedName>
    <definedName name="Vulnerability22">'PSA 1-35 especies'!$EY$29</definedName>
    <definedName name="Vulnerability23">'PSA 1-35 especies'!$FF$29</definedName>
    <definedName name="Vulnerability24">'PSA 1-35 especies'!$FM$29</definedName>
    <definedName name="Vulnerability25">'PSA 1-35 especies'!$FT$29</definedName>
    <definedName name="Vulnerability26">'PSA 1-35 especies'!$GA$29</definedName>
    <definedName name="Vulnerability27">'PSA 1-35 especies'!$GH$29</definedName>
    <definedName name="Vulnerability28">'PSA 1-35 especies'!$GO$29</definedName>
    <definedName name="Vulnerability29">'PSA 1-35 especies'!$GV$29</definedName>
    <definedName name="Vulnerability3">'PSA 1-35 especies'!$V$29</definedName>
    <definedName name="Vulnerability30">'PSA 1-35 especies'!$HC$29</definedName>
    <definedName name="Vulnerability31">'PSA 1-35 especies'!$HJ$29</definedName>
    <definedName name="Vulnerability32">'PSA 1-35 especies'!$HQ$29</definedName>
    <definedName name="Vulnerability33">'PSA 1-35 especies'!$HX$29</definedName>
    <definedName name="Vulnerability34">'PSA 1-35 especies'!$IE$29</definedName>
    <definedName name="Vulnerability35">'PSA 1-35 especies'!$IL$29</definedName>
    <definedName name="Vulnerability36">'PSA  36-50 species'!$I$29</definedName>
    <definedName name="Vulnerability37">'PSA  36-50 species'!$P$29</definedName>
    <definedName name="Vulnerability38">'PSA  36-50 species'!$W$29</definedName>
    <definedName name="Vulnerability39">'PSA  36-50 species'!$AD$29</definedName>
    <definedName name="Vulnerability4">'PSA 1-35 especies'!$AC$29</definedName>
    <definedName name="Vulnerability40">'PSA  36-50 species'!$AK$29</definedName>
    <definedName name="Vulnerability41">'PSA  36-50 species'!$AR$29</definedName>
    <definedName name="Vulnerability42">'PSA  36-50 species'!$AY$29</definedName>
    <definedName name="Vulnerability43">'PSA  36-50 species'!$BF$29</definedName>
    <definedName name="Vulnerability44">'PSA  36-50 species'!$BM$29</definedName>
    <definedName name="Vulnerability45">'PSA  36-50 species'!$BT$29</definedName>
    <definedName name="Vulnerability46">'PSA  36-50 species'!$CA$29</definedName>
    <definedName name="Vulnerability47">'PSA  36-50 species'!$CH$29</definedName>
    <definedName name="Vulnerability48">'PSA  36-50 species'!$CO$29</definedName>
    <definedName name="Vulnerability49">'PSA  36-50 species'!$CV$29</definedName>
    <definedName name="Vulnerability5">'PSA 1-35 especies'!$AJ$29</definedName>
    <definedName name="Vulnerability50">'PSA  36-50 species'!$DC$29</definedName>
    <definedName name="Vulnerability6">'PSA 1-35 especies'!$AQ$29</definedName>
    <definedName name="Vulnerability7">'PSA 1-35 especies'!$AX$29</definedName>
    <definedName name="Vulnerability8">'PSA 1-35 especies'!$BE$29</definedName>
    <definedName name="Vulnerability9">'PSA 1-35 especies'!$BL$29</definedName>
  </definedNames>
  <calcPr fullCalcOnLoad="1"/>
</workbook>
</file>

<file path=xl/sharedStrings.xml><?xml version="1.0" encoding="utf-8"?>
<sst xmlns="http://schemas.openxmlformats.org/spreadsheetml/2006/main" count="1323" uniqueCount="202">
  <si>
    <t>Weight 0-4</t>
  </si>
  <si>
    <t>Attribute Score</t>
  </si>
  <si>
    <t>Data Quality Score</t>
  </si>
  <si>
    <t>&gt;0.5</t>
  </si>
  <si>
    <t>&lt;0.16</t>
  </si>
  <si>
    <t>&lt;60 cm</t>
  </si>
  <si>
    <t>&gt;150 cm</t>
  </si>
  <si>
    <t>&gt;0.25</t>
  </si>
  <si>
    <t>&lt;0.15</t>
  </si>
  <si>
    <t>&gt;0.40</t>
  </si>
  <si>
    <t>&lt;0.20</t>
  </si>
  <si>
    <r>
      <rPr>
        <u val="single"/>
        <sz val="11"/>
        <color indexed="8"/>
        <rFont val="Calibri"/>
        <family val="2"/>
      </rPr>
      <t>&gt;</t>
    </r>
    <r>
      <rPr>
        <sz val="11"/>
        <color theme="1"/>
        <rFont val="Calibri"/>
        <family val="2"/>
      </rPr>
      <t>4</t>
    </r>
  </si>
  <si>
    <t>&lt;2.5</t>
  </si>
  <si>
    <t>&gt;3.5</t>
  </si>
  <si>
    <t>&lt;0.5</t>
  </si>
  <si>
    <t>0.5-1.0</t>
  </si>
  <si>
    <t>&gt;1</t>
  </si>
  <si>
    <t>&gt;10e4 (100,000)</t>
  </si>
  <si>
    <t>10e2-10e3 (1,000-10,000)</t>
  </si>
  <si>
    <t>&lt;10e2 (1,000)</t>
  </si>
  <si>
    <t>Description</t>
  </si>
  <si>
    <t>Example</t>
  </si>
  <si>
    <t>Similar genus or family, etc.</t>
  </si>
  <si>
    <t>General data - not referenced.</t>
  </si>
  <si>
    <t>Data</t>
  </si>
  <si>
    <t>Source</t>
  </si>
  <si>
    <t>Species Scientific Name</t>
  </si>
  <si>
    <t>Weighted Attribute Score</t>
  </si>
  <si>
    <t>Weighted Data Quality Score</t>
  </si>
  <si>
    <t>Vulnerability</t>
  </si>
  <si>
    <t>HIGH</t>
  </si>
  <si>
    <t>MEDIUM</t>
  </si>
  <si>
    <t>LOW</t>
  </si>
  <si>
    <t>&lt; 1.8</t>
  </si>
  <si>
    <t>VULNERABILITY</t>
  </si>
  <si>
    <t>CONCERN</t>
  </si>
  <si>
    <r>
      <rPr>
        <u val="single"/>
        <sz val="14"/>
        <color indexed="8"/>
        <rFont val="Calibri"/>
        <family val="2"/>
      </rPr>
      <t>&gt;</t>
    </r>
    <r>
      <rPr>
        <sz val="14"/>
        <color indexed="8"/>
        <rFont val="Calibri"/>
        <family val="2"/>
      </rPr>
      <t xml:space="preserve"> 2.2</t>
    </r>
  </si>
  <si>
    <t>2.0 &lt; V &gt; 1.8</t>
  </si>
  <si>
    <r>
      <t xml:space="preserve">2.2 </t>
    </r>
    <r>
      <rPr>
        <u val="single"/>
        <sz val="11"/>
        <color indexed="8"/>
        <rFont val="Calibri"/>
        <family val="2"/>
      </rPr>
      <t xml:space="preserve">&lt; </t>
    </r>
    <r>
      <rPr>
        <sz val="11"/>
        <color theme="1"/>
        <rFont val="Calibri"/>
        <family val="2"/>
      </rPr>
      <t>V</t>
    </r>
    <r>
      <rPr>
        <u val="single"/>
        <sz val="11"/>
        <color indexed="8"/>
        <rFont val="Calibri"/>
        <family val="2"/>
      </rPr>
      <t xml:space="preserve"> &gt;</t>
    </r>
    <r>
      <rPr>
        <sz val="11"/>
        <color theme="1"/>
        <rFont val="Calibri"/>
        <family val="2"/>
      </rPr>
      <t xml:space="preserve"> 2.0</t>
    </r>
  </si>
  <si>
    <t>http://nft.nefsc.noaa.gov/</t>
  </si>
  <si>
    <t>This excel document is to serve as a guide and analysis tool.  It is designed to collect data, organize data, and assess target species simultaneously. Up to 50 species.</t>
  </si>
  <si>
    <t>Follow the step-by-step guidelines in the Primer for Productivity and Susceptibility Analysis.docx</t>
  </si>
  <si>
    <t xml:space="preserve">Data Quality </t>
  </si>
  <si>
    <t>Limited temporal or spatial data etc.</t>
  </si>
  <si>
    <t>Published literature that uses multiple methods, etc.</t>
  </si>
  <si>
    <t>&gt;50% de la población ocurre en el área de pesca</t>
  </si>
  <si>
    <t>La población está distribuida en &lt;25% de su rango total</t>
  </si>
  <si>
    <t>&gt;50% de la población ocurre en las profundidades donde se pesca</t>
  </si>
  <si>
    <t>Las respuestas de comportamiento aumentan la probabilidad de captura del arte de pesca (ej., hiperestabilidad de la CPUE con el comportamiento del cardumen)</t>
  </si>
  <si>
    <t xml:space="preserve">La especie muestra alta selectividad al arte de pesca </t>
  </si>
  <si>
    <t>Probabilidad de supervivencia &lt;33%</t>
  </si>
  <si>
    <t xml:space="preserve">La pesca valora o desea altamente esta población </t>
  </si>
  <si>
    <t xml:space="preserve">Los efectos adversos son mayores que los mínimos o temporales y no son mitigados </t>
  </si>
  <si>
    <t>&gt;30 años</t>
  </si>
  <si>
    <t>Exito de reclutamiento poco frecuente (&lt;10% de las clases por año son exitosas)</t>
  </si>
  <si>
    <t>&gt;4 años</t>
  </si>
  <si>
    <r>
      <t>Las poblaciones objetivo no tienen l</t>
    </r>
    <r>
      <rPr>
        <sz val="11"/>
        <color indexed="8"/>
        <rFont val="Calibri"/>
        <family val="2"/>
      </rPr>
      <t>í</t>
    </r>
    <r>
      <rPr>
        <sz val="8.8"/>
        <color indexed="8"/>
        <rFont val="Calibri"/>
        <family val="2"/>
      </rPr>
      <t>mites de captura ni medidas de responsabilidad</t>
    </r>
    <r>
      <rPr>
        <sz val="11"/>
        <color theme="1"/>
        <rFont val="Calibri"/>
        <family val="2"/>
      </rPr>
      <t>; las poblaciones no objetivo no se monitorean cuidadosamente</t>
    </r>
  </si>
  <si>
    <r>
      <t>B es &lt;25% de B0 (o m</t>
    </r>
    <r>
      <rPr>
        <sz val="11"/>
        <color indexed="8"/>
        <rFont val="Calibri"/>
        <family val="2"/>
      </rPr>
      <t>á</t>
    </r>
    <r>
      <rPr>
        <sz val="8.8"/>
        <color indexed="8"/>
        <rFont val="Calibri"/>
        <family val="2"/>
      </rPr>
      <t>ximo observado</t>
    </r>
    <r>
      <rPr>
        <sz val="11"/>
        <color theme="1"/>
        <rFont val="Calibri"/>
        <family val="2"/>
      </rPr>
      <t>)</t>
    </r>
  </si>
  <si>
    <r>
      <t>las migraciones estacionales aumentan su superposici</t>
    </r>
    <r>
      <rPr>
        <sz val="11"/>
        <color indexed="8"/>
        <rFont val="Calibri"/>
        <family val="2"/>
      </rPr>
      <t>ó</t>
    </r>
    <r>
      <rPr>
        <sz val="8.8"/>
        <color indexed="8"/>
        <rFont val="Calibri"/>
        <family val="2"/>
      </rPr>
      <t>n con la pesca</t>
    </r>
  </si>
  <si>
    <t>Productivity Attributes</t>
  </si>
  <si>
    <t>Notes (from the PSA creators)</t>
  </si>
  <si>
    <t>High (3)</t>
  </si>
  <si>
    <t>Moderate (2)</t>
  </si>
  <si>
    <t>Low (1)</t>
  </si>
  <si>
    <t>r (population growth)</t>
  </si>
  <si>
    <t>0.5-0.16 (mid-point 0.10)</t>
  </si>
  <si>
    <t>Max age</t>
  </si>
  <si>
    <t>&lt;10 yrs</t>
  </si>
  <si>
    <t>10-30 yrs (mid-point 20)</t>
  </si>
  <si>
    <t>&gt;30 yrs</t>
  </si>
  <si>
    <t>Max size</t>
  </si>
  <si>
    <t>60-150 cm (mid-point 105)</t>
  </si>
  <si>
    <t>von Bertalanffy growth coefficient (k)</t>
  </si>
  <si>
    <t>0.15-0.25 (mid-point 0.20)</t>
  </si>
  <si>
    <t>Estimated natural mortality (M)</t>
  </si>
  <si>
    <t>0.20-0.40 (mid-point 0.30)</t>
  </si>
  <si>
    <t>Measured fecundity</t>
  </si>
  <si>
    <t>Breeding strategy</t>
  </si>
  <si>
    <t>The breeding strategy of a stock provides an indication of the level of mortality that might be expected for the offspring in the first stages of life. To estimate offspring mortality, we used Winemiller’s (1989) index of parental investment. The index ranges in score from 0 to 14 and is composed of: 1) the placement of larvae or zygotes (i.e., in nest or into water column; score ranges from 0 to 2); 2) the length of time of parental protection of zygotes or larvae (score ranges from 0 to 4); and 3) the length of gestation period or nutritional contribution (score ranges from 0 to 8). To translate Winemiller’s index into our 1-3 ranking system, we examined King and McFarlane’s (2003) parental investment scores for 42 North Pacific stocks. These 42 stocks covered a wide range of life-histories and habitats, including 10 surface pelagic, 3 mid-water pelagic, 3 deep-water pelagic, 18 near-shore benthic, and 9 offshore benthic stocks. Thirty-one percent of the stocks had a Winemiller score of zero, and 40% had a Winemiller score of 4 or higher, so 0 and 4 were used as the breakpoints between our ranking categories.</t>
  </si>
  <si>
    <t>between 1 and 3</t>
  </si>
  <si>
    <t>Recruitment Pattern</t>
  </si>
  <si>
    <t>Stocks with sporadic and infrequent recruitment success often are long-lived and thus might be expected to have lower levels of productivity (Musick 1999). This attribute is intended as a coarse index to distinguish stocks with sporadic recruitment patterns and high frequency of year-class failures from those with relatively steady recruitment. Thus, the frequency of year-class success (defined as exceeding a recruitment level associated with year-class failure) was used for this attribute. Because this attribute was viewed as a course index, the Working Group chose 10% and 75% as the breakpoints between our ranking categories so that scores of 1 and 3 identified relatively extreme differences in recruitment patterns.</t>
  </si>
  <si>
    <t>highly frequent recruitment success (&gt;75% of year classes are successful)</t>
  </si>
  <si>
    <t>moderatetly frequent recruitment success (between 10% and 75% of year classes are successful)</t>
  </si>
  <si>
    <t>infrequent recruitment success (&lt;10% of year classes are successful)</t>
  </si>
  <si>
    <t>Age at maturity</t>
  </si>
  <si>
    <t>&lt;2 yrs</t>
  </si>
  <si>
    <t>2-4 yrs (mid-point 3.0)</t>
  </si>
  <si>
    <t>&gt;4 yrs</t>
  </si>
  <si>
    <t>Mean trophic level</t>
  </si>
  <si>
    <t>The position of a stock within the larger fish community can be used to infer stock productivity, with lower-trophic-level stocks generally being more productive than higher-trophic-level stocks. The trophic level of a stock can be computed as a function of the trophic levels of the organisms in its diet. For this attribute, stocks with trophic levels higher than 3.5 were categorized as low productivity stocks and stocks with trophic levels less than 2.5 were categorized as high-productivity stocks, with moderate productivity stocks falling between these bounds. These attribute threshold roughly categorize piscivores to higher trophic levels, omnivores to intermediate trophic levels, and planktivores to lower trophic levels (Pauly et al. 1998).</t>
  </si>
  <si>
    <t>2.5-3.5 (mid-point 3)</t>
  </si>
  <si>
    <t>Final Productivity Score</t>
  </si>
  <si>
    <t>Susceptibilty Attributes</t>
  </si>
  <si>
    <t>Management strategy</t>
  </si>
  <si>
    <t>targeted stocks have catch liimts and proactive accountability measures; non-target stocks are closely monitored</t>
  </si>
  <si>
    <t>targeted stocks have catch limits and reactive accountability measures</t>
  </si>
  <si>
    <t>targeted stocks do not have catch limits or accountability measures; non-target stocks are not closely monitored</t>
  </si>
  <si>
    <t>Areal overlap</t>
  </si>
  <si>
    <t>&lt;25% of stock occurs in the area fished</t>
  </si>
  <si>
    <t>Between 25% and 50% of the stock occurs in the area fished</t>
  </si>
  <si>
    <t>&gt;50% of the stock occurs in the area fished</t>
  </si>
  <si>
    <t>Geographic concentration</t>
  </si>
  <si>
    <t>stock is distributed in &gt;50% of its total range</t>
  </si>
  <si>
    <t>stock is distributed in 25% to 50% of its total range</t>
  </si>
  <si>
    <t>stock is distributed in &lt;25% of its total range</t>
  </si>
  <si>
    <t>Vertical overlap</t>
  </si>
  <si>
    <t>&lt;25% of stock occurs in the depths fished</t>
  </si>
  <si>
    <t>Between 25% and 50% of the stock occurs in the depths fished</t>
  </si>
  <si>
    <t>&gt;50% of the stock occurs in the depths fished</t>
  </si>
  <si>
    <t>Fishing rate relative to M</t>
  </si>
  <si>
    <t>Applicable where estimates of both fishing mortality rates and M are available. The average F on mature fish is recommended for use when possible as opposed to the fully selected or "peak" F.</t>
  </si>
  <si>
    <t>Biomass of spawners (SSB) or other proxies</t>
  </si>
  <si>
    <t>B is &gt;40% of B0 (or max observed from time series of biomass estimates)</t>
  </si>
  <si>
    <t>B is between 25% and 40% of B0 (or max observed from times series)</t>
  </si>
  <si>
    <t>B is &lt;25% of B0 (or max observed)</t>
  </si>
  <si>
    <t>Seasonal migrations</t>
  </si>
  <si>
    <t>seasonal migrations decrease overlap with the fishery</t>
  </si>
  <si>
    <t>seasonal migrations do not substantially affect the overlap with the fishery</t>
  </si>
  <si>
    <t>seasonal migrations increase overlap with the fishery</t>
  </si>
  <si>
    <t>Schooling/Aggregation</t>
  </si>
  <si>
    <t>behavioral responses decrease the catchability of the gear</t>
  </si>
  <si>
    <t>behavioral responses do not substantially affect the catchabilty of the gear</t>
  </si>
  <si>
    <t>behavioral responses increase the catachbilty of the gear (i.e., hyperstability of CPUE with schooling behavior)</t>
  </si>
  <si>
    <t>Morphology affecting capture</t>
  </si>
  <si>
    <t>species shows low selectivity to the fishing gear</t>
  </si>
  <si>
    <t>species shows moderate selectivity to the fishing gear</t>
  </si>
  <si>
    <t>species shows high selectivity to the fishing gear</t>
  </si>
  <si>
    <t>Survival after capture and release</t>
  </si>
  <si>
    <t>probability of survival &gt;67%</t>
  </si>
  <si>
    <t>Between 33% and 67% probability of survival</t>
  </si>
  <si>
    <t>Probability of survival &lt;33%</t>
  </si>
  <si>
    <t>Desirability/value of the fishery</t>
  </si>
  <si>
    <t>stock is not highly valued or desired by the fishery</t>
  </si>
  <si>
    <t>stock is moderately valued or desired by the fishery</t>
  </si>
  <si>
    <t>stock is highly valued or desired by the fishery</t>
  </si>
  <si>
    <t>Fishery impact to essential fish habitat (EFH) or habitat in general for non-targets</t>
  </si>
  <si>
    <t>adverse effects absent, minimal, or temperary</t>
  </si>
  <si>
    <t>adverse effects more than minimal or temporary but are mitigated</t>
  </si>
  <si>
    <t>adverse effects more than minimal or temporary and are not mitigated</t>
  </si>
  <si>
    <t>Final Susceptibility Score</t>
  </si>
  <si>
    <t>Final Vulnerability Score</t>
  </si>
  <si>
    <t>(Best data) Information is based on collected data for the stock and area of interest that is established and substantial.</t>
  </si>
  <si>
    <t>Data rich stock assessment, published literature that uses multiple methods, etc.</t>
  </si>
  <si>
    <t>(Adequate data) Information with limited coverage and corroboration, or for some other reason deemed not as reliable as Tier 1 data.</t>
  </si>
  <si>
    <t>(Limited data) Estimates with high variation and limited confidence and may be based on similar taxa or life history strategy.</t>
  </si>
  <si>
    <t>(Very limited data) Expert opinion or based on general literature review from wide range of species, or outside of region.</t>
  </si>
  <si>
    <t>(No data) No information to base score on - not included in the PSA, but included in the DQI score.</t>
  </si>
  <si>
    <t>Target ID</t>
  </si>
  <si>
    <t>Target</t>
  </si>
  <si>
    <t>Productivity</t>
  </si>
  <si>
    <t>Susceptibility</t>
  </si>
  <si>
    <t>Risk</t>
  </si>
  <si>
    <t>Overall Data Quality</t>
  </si>
  <si>
    <t>Productivity Data Quality</t>
  </si>
  <si>
    <t>Susceptibility Data Quality</t>
  </si>
  <si>
    <t>Species ID</t>
  </si>
  <si>
    <t>Common Name</t>
  </si>
  <si>
    <t>Scientific Name</t>
  </si>
  <si>
    <t>Methods</t>
  </si>
  <si>
    <t>each step for the PSA is color coded to a tab within the excel spreadsheet</t>
  </si>
  <si>
    <r>
      <t xml:space="preserve">1. List the species latin name  common name for all species of interest on the </t>
    </r>
    <r>
      <rPr>
        <b/>
        <sz val="12"/>
        <color indexed="8"/>
        <rFont val="Calibri"/>
        <family val="2"/>
      </rPr>
      <t>species table</t>
    </r>
    <r>
      <rPr>
        <sz val="12"/>
        <color indexed="8"/>
        <rFont val="Calibri"/>
        <family val="2"/>
      </rPr>
      <t>. This will populate the species name into the PSA analysis and results spreadsheet.</t>
    </r>
  </si>
  <si>
    <r>
      <t xml:space="preserve">2. Collect data from Fishbase and literature on each of the productivity and susceptibility attributes on the  </t>
    </r>
    <r>
      <rPr>
        <b/>
        <sz val="12"/>
        <color indexed="8"/>
        <rFont val="Calibri"/>
        <family val="2"/>
      </rPr>
      <t>references</t>
    </r>
    <r>
      <rPr>
        <sz val="12"/>
        <color indexed="8"/>
        <rFont val="Calibri"/>
        <family val="2"/>
      </rPr>
      <t xml:space="preserve"> tab.  The will help to collect data, by attributes of the PSA and organize the data by reference.</t>
    </r>
  </si>
  <si>
    <t>Transfer the collected  data and source information into the PSA analysis spreadsheet, note that the species enter into the species spreadshhety have already been added to the analysis. Data for each species can be added and scored by you at this time.</t>
  </si>
  <si>
    <t>At this time you can 1) score the data collected, based on the guidance provided on a ranking system of 1-3, 2) score the source information based on the guidance provided in the data quality table.</t>
  </si>
  <si>
    <t>Notes</t>
  </si>
  <si>
    <r>
      <t xml:space="preserve">Finally, score the data source as well in the column provided under </t>
    </r>
    <r>
      <rPr>
        <b/>
        <sz val="11"/>
        <color indexed="8"/>
        <rFont val="Calibri"/>
        <family val="2"/>
      </rPr>
      <t>data quality score</t>
    </r>
    <r>
      <rPr>
        <sz val="11"/>
        <color theme="1"/>
        <rFont val="Calibri"/>
        <family val="2"/>
      </rPr>
      <t>.</t>
    </r>
  </si>
  <si>
    <r>
      <t xml:space="preserve">If you choose not to score a attribute of the PSA, you can leave the data/ attribute score column blank , </t>
    </r>
    <r>
      <rPr>
        <b/>
        <sz val="11"/>
        <color indexed="8"/>
        <rFont val="Calibri"/>
        <family val="2"/>
      </rPr>
      <t xml:space="preserve">but you must weight that attribute of the PSA as a zero. </t>
    </r>
    <r>
      <rPr>
        <i/>
        <sz val="11"/>
        <color indexed="8"/>
        <rFont val="Calibri"/>
        <family val="2"/>
      </rPr>
      <t>Note in both of the examples provided on this sheet, the Biomass of spawners (SSB) or other proxies has not been scored, this is accomplished with a 0 in the weight 0-4 column of the data.</t>
    </r>
  </si>
  <si>
    <r>
      <t xml:space="preserve">3. After collecting information for each species in the PSA, transfer the data into the PSA analysis spreadsheet. Start with the </t>
    </r>
    <r>
      <rPr>
        <b/>
        <sz val="11"/>
        <color indexed="8"/>
        <rFont val="Calibri"/>
        <family val="2"/>
      </rPr>
      <t>PSA 1-35 species</t>
    </r>
    <r>
      <rPr>
        <sz val="11"/>
        <color theme="1"/>
        <rFont val="Calibri"/>
        <family val="2"/>
      </rPr>
      <t xml:space="preserve">, if you have more than 35 species, another spreadsheet </t>
    </r>
    <r>
      <rPr>
        <b/>
        <sz val="11"/>
        <color indexed="8"/>
        <rFont val="Calibri"/>
        <family val="2"/>
      </rPr>
      <t>PSA 36-50 species</t>
    </r>
    <r>
      <rPr>
        <sz val="11"/>
        <color theme="1"/>
        <rFont val="Calibri"/>
        <family val="2"/>
      </rPr>
      <t xml:space="preserve"> is avaiable to use. Two examples are provided in the references in and PSA analysis. </t>
    </r>
    <r>
      <rPr>
        <i/>
        <sz val="11"/>
        <color indexed="8"/>
        <rFont val="Calibri"/>
        <family val="2"/>
      </rPr>
      <t>Note, two examples are represent in the PSA analysis, replace your data with the information in the sheet.</t>
    </r>
  </si>
  <si>
    <t>PSA results and graphs</t>
  </si>
  <si>
    <t>To assess the vulnerability of target stocks to fishing pressure using basic biological and fishery information, we recommend the Productivity and Susceptibility Analysis (PSA) model. </t>
  </si>
  <si>
    <t>Software for conducting the PSA can be downloaded free of charge from the NOAA Fisheries Toolbox website at:</t>
  </si>
  <si>
    <t>The Result section is set up to assess a total of 50 species. If your PSA has less than 50 species, delete the extra data points beyond your target list under the Productivity, Susceptibility and Vulnerability headers.</t>
  </si>
  <si>
    <t>Data for the results and graph are automatic calucalted up to 50 species, the graph will have the species number assocaiated with each traget species, for identifcation.</t>
  </si>
  <si>
    <t>Additionally, the results for Productivity, Susceptibility, Vulnerability and data quality are color code to a stop light; green (low concern), yellow( moderate concern) and red (high concern).</t>
  </si>
  <si>
    <t>4. After all the data has been transferred from the references spreadsheet to the analysis spreadsheets, and each attribute has been scored you are complete. Use the PSAA results and graph spreadsheet to compare the producitivty, susceptibility and vulnerability scores and graph.</t>
  </si>
  <si>
    <t>Productivity and Susceptibility Analysis (PSA)-  2.0</t>
  </si>
  <si>
    <t>&gt;4</t>
  </si>
  <si>
    <r>
      <t xml:space="preserve">Questions: </t>
    </r>
    <r>
      <rPr>
        <sz val="14"/>
        <color indexed="8"/>
        <rFont val="Calibri"/>
        <family val="2"/>
      </rPr>
      <t xml:space="preserve"> </t>
    </r>
    <r>
      <rPr>
        <b/>
        <sz val="14"/>
        <color indexed="8"/>
        <rFont val="Calibri"/>
        <family val="2"/>
      </rPr>
      <t>Kendra Karr</t>
    </r>
    <r>
      <rPr>
        <sz val="14"/>
        <color indexed="8"/>
        <rFont val="Calibri"/>
        <family val="2"/>
      </rPr>
      <t xml:space="preserve"> (kkarr@edf.org) or Rod Fujita (rfujita@edf.org) with questions.</t>
    </r>
  </si>
  <si>
    <t xml:space="preserve">Understanding the objectives of a particular PSA is important, because the objectives will influence choice of spatial scale, species selection and scoring.  PSA should not adopt a spatial scale smaller than the area spanned by a fish stock.  Looking at a small scale requires a different set of tools. </t>
  </si>
  <si>
    <t xml:space="preserve">PSA might adopt a larger scale that combines multiple stocks (for example, the national scale).  Different scales might mean different combinations of gears, management measures, and other factors will be considered when scoring susceptibility. </t>
  </si>
  <si>
    <t xml:space="preserve">A small team with diverse expertise should participate in the entire PSA process to ensure consistency of scoring, perhaps with additional members possessing detailed knowledge of a particular region joining as needed. </t>
  </si>
  <si>
    <t xml:space="preserve">PSA aims to assist science and management planning for a large number of species by identifying top priorities. If only a small number of species is of interest, PSA is probably not necessary and more in-depth analysis of those species can commence.  </t>
  </si>
  <si>
    <t>Species should not be aggregated for analysis, but instead analyzed separately when possible.  If data are borrowed from a different species, that should be reflected in the data quality score and possibly the weighting.</t>
  </si>
  <si>
    <t>When weighting, it is important to err on the side of caution.  A weight of two (2) is the default. A weight of zero (0) effectively cancels that attribute from the analysis. A zero weight should be used when an attribute score is left blank.</t>
  </si>
  <si>
    <t>PSA used to prioritize stock assessments is generally based on the typical fishing gear that is used for the majority of the catch. The gear being analyzed for the stock should be clear from the start. It is possible to do PSA for multiple gear types for the same species if that supports the objectives of a particular PSA.  For example, a PSA might focus solely on bycatch impacts of a shrimp fishing while a separate PSA might focus on directed fisheries for the same species.</t>
  </si>
  <si>
    <t xml:space="preserve">There will be considerable detail and variation within every attribute considered. However, PSA does not intend to capture and account for that complexity. Rather, scores should reflect general characteristics of the species and fishery. </t>
  </si>
  <si>
    <t xml:space="preserve">The final vulnerability score is the result of many decisions about individual attributes.  Therefore, the influence of any single attribute is intentionally small, and it is not productive to spend an excessive amount of time on minor differences of opinion regarding each attribute. </t>
  </si>
  <si>
    <t xml:space="preserve">Consistency in decision-making is important. The same criteria should be used to evaluate each attribute for each species considered.  </t>
  </si>
  <si>
    <t>It is common for the Fishing Mortality and Biomass attributes to be unscored (i.e. value of zero for weighting and attribute score), because those data are typically derived from a stock assessment; whereas, PSAs are often used for stocks that have not been assessed.</t>
  </si>
  <si>
    <t xml:space="preserve">If either the weight or attribute score is given a zero, then the other must get a zero as well, or the final productivity, susceptibility and vulnerability scores will all be unintentionally lowered.  This is true when using both the Excel spreadsheet and the NOAA software. An alternative to a zero score is to produce the best estimate of the score, and then lower the weight and the data quality. </t>
  </si>
  <si>
    <t>PSA Guideline: Tips</t>
  </si>
  <si>
    <t>Location</t>
  </si>
  <si>
    <t>Local Name</t>
  </si>
  <si>
    <t>General Ecology</t>
  </si>
  <si>
    <t>Very High</t>
  </si>
  <si>
    <t>Low</t>
  </si>
  <si>
    <t>High</t>
  </si>
  <si>
    <t>Moderate</t>
  </si>
  <si>
    <t>Critical habitats</t>
  </si>
  <si>
    <t>Life history phase/habitat --juvenile, adults, spawning. Etc.</t>
  </si>
  <si>
    <t>Home range / migration / dispersal capcaity/ movement patterns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</si>
</sst>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60">
    <font>
      <sz val="11"/>
      <color theme="1"/>
      <name val="Calibri"/>
      <family val="2"/>
    </font>
    <font>
      <sz val="11"/>
      <color indexed="8"/>
      <name val="Calibri"/>
      <family val="2"/>
    </font>
    <font>
      <u val="single"/>
      <sz val="11"/>
      <color indexed="8"/>
      <name val="Calibri"/>
      <family val="2"/>
    </font>
    <font>
      <sz val="14"/>
      <color indexed="8"/>
      <name val="Calibri"/>
      <family val="2"/>
    </font>
    <font>
      <u val="single"/>
      <sz val="14"/>
      <color indexed="8"/>
      <name val="Calibri"/>
      <family val="2"/>
    </font>
    <font>
      <b/>
      <sz val="14"/>
      <color indexed="8"/>
      <name val="Calibri"/>
      <family val="2"/>
    </font>
    <font>
      <sz val="8.8"/>
      <color indexed="8"/>
      <name val="Calibri"/>
      <family val="2"/>
    </font>
    <font>
      <sz val="12"/>
      <color indexed="8"/>
      <name val="Calibri"/>
      <family val="2"/>
    </font>
    <font>
      <b/>
      <sz val="11"/>
      <color indexed="8"/>
      <name val="Calibri"/>
      <family val="2"/>
    </font>
    <font>
      <b/>
      <sz val="12"/>
      <color indexed="8"/>
      <name val="Calibri"/>
      <family val="2"/>
    </font>
    <font>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6"/>
      <color indexed="10"/>
      <name val="Calibri"/>
      <family val="2"/>
    </font>
    <font>
      <b/>
      <sz val="10"/>
      <color indexed="8"/>
      <name val="Calibri"/>
      <family val="2"/>
    </font>
    <font>
      <sz val="12"/>
      <color indexed="63"/>
      <name val="Calibri"/>
      <family val="2"/>
    </font>
    <font>
      <u val="single"/>
      <sz val="12"/>
      <color indexed="12"/>
      <name val="Calibri"/>
      <family val="2"/>
    </font>
    <font>
      <b/>
      <sz val="11"/>
      <name val="Calibri"/>
      <family val="2"/>
    </font>
    <font>
      <sz val="10"/>
      <color indexed="8"/>
      <name val="Calibri"/>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rgb="FFFF0000"/>
      <name val="Calibri"/>
      <family val="2"/>
    </font>
    <font>
      <b/>
      <sz val="12"/>
      <color theme="1"/>
      <name val="Calibri"/>
      <family val="2"/>
    </font>
    <font>
      <sz val="14"/>
      <color theme="1"/>
      <name val="Calibri"/>
      <family val="2"/>
    </font>
    <font>
      <b/>
      <sz val="10"/>
      <color theme="1"/>
      <name val="Calibri"/>
      <family val="2"/>
    </font>
    <font>
      <b/>
      <sz val="14"/>
      <color theme="1"/>
      <name val="Calibri"/>
      <family val="2"/>
    </font>
    <font>
      <sz val="12"/>
      <color rgb="FF404142"/>
      <name val="Calibri"/>
      <family val="2"/>
    </font>
    <font>
      <u val="single"/>
      <sz val="12"/>
      <color theme="10"/>
      <name val="Calibri"/>
      <family val="2"/>
    </font>
    <font>
      <i/>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0"/>
        <bgColor indexed="64"/>
      </patternFill>
    </fill>
    <fill>
      <patternFill patternType="solid">
        <fgColor theme="9" tint="-0.24997000396251678"/>
        <bgColor indexed="64"/>
      </patternFill>
    </fill>
    <fill>
      <patternFill patternType="solid">
        <fgColor theme="3" tint="0.7999799847602844"/>
        <bgColor indexed="64"/>
      </patternFill>
    </fill>
    <fill>
      <patternFill patternType="solid">
        <fgColor theme="3" tint="0.3999800086021423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style="thin"/>
      <right style="thin"/>
      <top style="thin"/>
      <bottom style="medium"/>
    </border>
    <border>
      <left style="thin"/>
      <right/>
      <top style="thin"/>
      <bottom style="medium"/>
    </border>
    <border>
      <left style="thin"/>
      <right style="thin"/>
      <top/>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medium"/>
      <bottom>
        <color indexed="63"/>
      </bottom>
    </border>
    <border>
      <left style="thin"/>
      <right/>
      <top style="thin"/>
      <bottom style="thin"/>
    </border>
    <border>
      <left/>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47"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40">
    <xf numFmtId="0" fontId="0" fillId="0" borderId="0" xfId="0" applyFont="1" applyAlignment="1">
      <alignment/>
    </xf>
    <xf numFmtId="0" fontId="0" fillId="33" borderId="10" xfId="0" applyFill="1" applyBorder="1" applyAlignment="1">
      <alignment horizontal="center" vertical="center" wrapText="1"/>
    </xf>
    <xf numFmtId="0" fontId="0" fillId="0" borderId="10" xfId="0" applyFill="1" applyBorder="1" applyAlignment="1">
      <alignment horizontal="center" vertical="center" wrapText="1"/>
    </xf>
    <xf numFmtId="0" fontId="50" fillId="0" borderId="10" xfId="0" applyFont="1" applyFill="1" applyBorder="1" applyAlignment="1">
      <alignment horizontal="center" vertical="center" wrapText="1"/>
    </xf>
    <xf numFmtId="0" fontId="0" fillId="0" borderId="0" xfId="0" applyAlignment="1">
      <alignment vertical="center" wrapText="1"/>
    </xf>
    <xf numFmtId="0" fontId="0" fillId="0" borderId="0" xfId="0" applyFill="1" applyAlignment="1">
      <alignment vertical="center" wrapText="1"/>
    </xf>
    <xf numFmtId="0" fontId="50" fillId="0" borderId="10" xfId="0" applyFont="1" applyBorder="1" applyAlignment="1">
      <alignment vertical="center" wrapText="1"/>
    </xf>
    <xf numFmtId="3" fontId="0" fillId="0" borderId="10" xfId="0" applyNumberFormat="1" applyFill="1" applyBorder="1" applyAlignment="1">
      <alignment horizontal="center" vertical="center" wrapText="1"/>
    </xf>
    <xf numFmtId="3" fontId="0" fillId="33" borderId="10" xfId="0" applyNumberFormat="1" applyFill="1" applyBorder="1" applyAlignment="1">
      <alignment horizontal="center" vertical="center" wrapText="1"/>
    </xf>
    <xf numFmtId="0" fontId="0" fillId="16" borderId="0" xfId="0" applyFill="1" applyAlignment="1">
      <alignment vertical="center" wrapText="1"/>
    </xf>
    <xf numFmtId="0" fontId="50" fillId="33" borderId="10" xfId="0" applyFont="1" applyFill="1" applyBorder="1" applyAlignment="1">
      <alignment horizontal="center" vertical="center" wrapText="1"/>
    </xf>
    <xf numFmtId="0" fontId="0" fillId="0" borderId="0" xfId="0" applyAlignment="1">
      <alignment horizontal="left"/>
    </xf>
    <xf numFmtId="0" fontId="52" fillId="16" borderId="10" xfId="0" applyFont="1" applyFill="1" applyBorder="1" applyAlignment="1">
      <alignment horizontal="center" vertical="center" wrapText="1"/>
    </xf>
    <xf numFmtId="10" fontId="0" fillId="0" borderId="0" xfId="0" applyNumberFormat="1" applyAlignment="1">
      <alignment/>
    </xf>
    <xf numFmtId="0" fontId="53" fillId="0" borderId="0" xfId="0" applyFont="1" applyAlignment="1">
      <alignment horizontal="center"/>
    </xf>
    <xf numFmtId="0" fontId="47" fillId="0" borderId="0" xfId="0" applyFont="1" applyAlignment="1">
      <alignment horizontal="left"/>
    </xf>
    <xf numFmtId="0" fontId="47" fillId="0" borderId="0" xfId="0" applyFont="1" applyFill="1" applyBorder="1" applyAlignment="1">
      <alignment vertical="center" wrapText="1"/>
    </xf>
    <xf numFmtId="0" fontId="47" fillId="0" borderId="0" xfId="0" applyFont="1" applyAlignment="1">
      <alignment/>
    </xf>
    <xf numFmtId="0" fontId="47" fillId="0" borderId="0" xfId="0" applyFont="1" applyFill="1" applyAlignment="1">
      <alignment/>
    </xf>
    <xf numFmtId="0" fontId="47" fillId="0" borderId="0" xfId="0" applyFont="1" applyFill="1" applyBorder="1" applyAlignment="1">
      <alignment/>
    </xf>
    <xf numFmtId="0" fontId="54" fillId="0" borderId="0" xfId="0" applyFont="1" applyAlignment="1">
      <alignment/>
    </xf>
    <xf numFmtId="0" fontId="50" fillId="0" borderId="11" xfId="0" applyFont="1" applyBorder="1" applyAlignment="1">
      <alignment/>
    </xf>
    <xf numFmtId="0" fontId="55" fillId="0" borderId="12" xfId="0" applyFont="1" applyBorder="1" applyAlignment="1">
      <alignment/>
    </xf>
    <xf numFmtId="0" fontId="50" fillId="0" borderId="13" xfId="0" applyFont="1" applyBorder="1" applyAlignment="1">
      <alignment/>
    </xf>
    <xf numFmtId="0" fontId="55" fillId="0" borderId="14" xfId="0" applyFont="1" applyBorder="1" applyAlignment="1">
      <alignment/>
    </xf>
    <xf numFmtId="2" fontId="52" fillId="34" borderId="10" xfId="0" applyNumberFormat="1" applyFont="1" applyFill="1" applyBorder="1" applyAlignment="1">
      <alignment horizontal="center" vertical="center" wrapText="1"/>
    </xf>
    <xf numFmtId="0" fontId="50" fillId="34" borderId="10" xfId="0" applyFont="1" applyFill="1" applyBorder="1" applyAlignment="1">
      <alignment vertical="center" wrapText="1"/>
    </xf>
    <xf numFmtId="0" fontId="0" fillId="34" borderId="10" xfId="0" applyFill="1" applyBorder="1" applyAlignment="1">
      <alignment horizontal="left" vertical="center" wrapText="1"/>
    </xf>
    <xf numFmtId="0" fontId="0" fillId="34" borderId="10" xfId="0" applyFill="1" applyBorder="1" applyAlignment="1">
      <alignment horizontal="center" vertical="center" wrapText="1"/>
    </xf>
    <xf numFmtId="0" fontId="50" fillId="34" borderId="10" xfId="0" applyFont="1" applyFill="1" applyBorder="1" applyAlignment="1">
      <alignment horizontal="center" vertical="center" wrapText="1"/>
    </xf>
    <xf numFmtId="0" fontId="0" fillId="34" borderId="10" xfId="0" applyFill="1" applyBorder="1" applyAlignment="1">
      <alignment vertical="center" wrapText="1"/>
    </xf>
    <xf numFmtId="0" fontId="54" fillId="35" borderId="11" xfId="0" applyFont="1" applyFill="1" applyBorder="1" applyAlignment="1">
      <alignment horizontal="center"/>
    </xf>
    <xf numFmtId="0" fontId="54" fillId="35" borderId="12" xfId="0" applyFont="1" applyFill="1" applyBorder="1" applyAlignment="1">
      <alignment horizontal="center"/>
    </xf>
    <xf numFmtId="0" fontId="0" fillId="35" borderId="11" xfId="0" applyFill="1" applyBorder="1" applyAlignment="1">
      <alignment horizontal="center"/>
    </xf>
    <xf numFmtId="0" fontId="0" fillId="35" borderId="12" xfId="0" applyFill="1" applyBorder="1" applyAlignment="1">
      <alignment horizontal="center"/>
    </xf>
    <xf numFmtId="0" fontId="0" fillId="34" borderId="11" xfId="0" applyFill="1" applyBorder="1" applyAlignment="1">
      <alignment horizontal="center"/>
    </xf>
    <xf numFmtId="0" fontId="0" fillId="34" borderId="12" xfId="0" applyFill="1" applyBorder="1" applyAlignment="1">
      <alignment horizontal="center"/>
    </xf>
    <xf numFmtId="0" fontId="0" fillId="36" borderId="13" xfId="0" applyFill="1" applyBorder="1" applyAlignment="1">
      <alignment horizontal="center"/>
    </xf>
    <xf numFmtId="0" fontId="0" fillId="36" borderId="14" xfId="0" applyFill="1" applyBorder="1" applyAlignment="1">
      <alignment horizontal="center"/>
    </xf>
    <xf numFmtId="0" fontId="56" fillId="0" borderId="15" xfId="0" applyFont="1" applyBorder="1" applyAlignment="1">
      <alignment horizontal="center"/>
    </xf>
    <xf numFmtId="0" fontId="56" fillId="0" borderId="16" xfId="0" applyFont="1" applyBorder="1" applyAlignment="1">
      <alignment horizontal="center"/>
    </xf>
    <xf numFmtId="0" fontId="56" fillId="0" borderId="17" xfId="0" applyFont="1" applyBorder="1" applyAlignment="1">
      <alignment horizontal="center"/>
    </xf>
    <xf numFmtId="164" fontId="0" fillId="0" borderId="0" xfId="0" applyNumberFormat="1" applyAlignment="1">
      <alignment/>
    </xf>
    <xf numFmtId="0" fontId="47" fillId="37" borderId="18" xfId="0" applyFont="1" applyFill="1" applyBorder="1" applyAlignment="1">
      <alignment/>
    </xf>
    <xf numFmtId="0" fontId="47" fillId="37" borderId="19" xfId="0" applyFont="1" applyFill="1" applyBorder="1" applyAlignment="1">
      <alignment/>
    </xf>
    <xf numFmtId="0" fontId="47" fillId="37" borderId="18" xfId="0" applyFont="1" applyFill="1" applyBorder="1" applyAlignment="1">
      <alignment wrapText="1"/>
    </xf>
    <xf numFmtId="0" fontId="57" fillId="37" borderId="20" xfId="0" applyFont="1" applyFill="1" applyBorder="1" applyAlignment="1">
      <alignment wrapText="1"/>
    </xf>
    <xf numFmtId="0" fontId="57" fillId="37" borderId="18" xfId="0" applyFont="1" applyFill="1" applyBorder="1" applyAlignment="1">
      <alignment/>
    </xf>
    <xf numFmtId="0" fontId="58" fillId="37" borderId="18" xfId="52" applyFont="1" applyFill="1" applyBorder="1" applyAlignment="1">
      <alignment/>
    </xf>
    <xf numFmtId="0" fontId="47" fillId="37" borderId="19" xfId="0" applyFont="1" applyFill="1" applyBorder="1" applyAlignment="1">
      <alignment wrapText="1"/>
    </xf>
    <xf numFmtId="0" fontId="54" fillId="0" borderId="0" xfId="0" applyFont="1" applyAlignment="1">
      <alignment wrapText="1"/>
    </xf>
    <xf numFmtId="0" fontId="56" fillId="0" borderId="0" xfId="0" applyFont="1" applyAlignment="1">
      <alignment/>
    </xf>
    <xf numFmtId="0" fontId="56" fillId="37" borderId="21" xfId="0" applyFont="1" applyFill="1" applyBorder="1" applyAlignment="1">
      <alignment/>
    </xf>
    <xf numFmtId="0" fontId="56" fillId="0" borderId="17" xfId="0" applyFont="1" applyBorder="1" applyAlignment="1">
      <alignment horizontal="center" wrapText="1"/>
    </xf>
    <xf numFmtId="0" fontId="54" fillId="0" borderId="0" xfId="0" applyFont="1" applyAlignment="1">
      <alignment horizontal="center"/>
    </xf>
    <xf numFmtId="0" fontId="50" fillId="0" borderId="22" xfId="0" applyFont="1" applyBorder="1" applyAlignment="1">
      <alignment horizontal="center"/>
    </xf>
    <xf numFmtId="0" fontId="55" fillId="0" borderId="23" xfId="0" applyFont="1" applyBorder="1" applyAlignment="1">
      <alignment horizontal="center"/>
    </xf>
    <xf numFmtId="0" fontId="0" fillId="8" borderId="24" xfId="0" applyFill="1" applyBorder="1" applyAlignment="1">
      <alignment horizontal="center" vertical="center" wrapText="1"/>
    </xf>
    <xf numFmtId="2" fontId="52" fillId="8" borderId="24" xfId="0" applyNumberFormat="1" applyFont="1" applyFill="1" applyBorder="1" applyAlignment="1">
      <alignment horizontal="center" vertical="center" wrapText="1"/>
    </xf>
    <xf numFmtId="0" fontId="50" fillId="8" borderId="24" xfId="0" applyFont="1" applyFill="1" applyBorder="1" applyAlignment="1">
      <alignment horizontal="center" vertical="center" wrapText="1"/>
    </xf>
    <xf numFmtId="0" fontId="0" fillId="8" borderId="10" xfId="0" applyFill="1" applyBorder="1" applyAlignment="1">
      <alignment horizontal="center" vertical="center" wrapText="1"/>
    </xf>
    <xf numFmtId="0" fontId="0" fillId="8" borderId="0" xfId="0" applyFill="1" applyAlignment="1">
      <alignment vertical="center" wrapText="1"/>
    </xf>
    <xf numFmtId="0" fontId="0" fillId="36" borderId="10" xfId="0" applyFill="1" applyBorder="1" applyAlignment="1">
      <alignment horizontal="center" vertical="center" wrapText="1"/>
    </xf>
    <xf numFmtId="0" fontId="0" fillId="36" borderId="10" xfId="0" applyFill="1" applyBorder="1" applyAlignment="1">
      <alignment horizontal="left" vertical="center" wrapText="1"/>
    </xf>
    <xf numFmtId="0" fontId="0" fillId="35" borderId="10" xfId="0" applyFill="1" applyBorder="1" applyAlignment="1">
      <alignment horizontal="center" vertical="center" wrapText="1"/>
    </xf>
    <xf numFmtId="0" fontId="0" fillId="35" borderId="10" xfId="0" applyFill="1" applyBorder="1" applyAlignment="1">
      <alignment horizontal="left" vertical="center" wrapText="1"/>
    </xf>
    <xf numFmtId="0" fontId="0" fillId="38" borderId="10" xfId="0" applyFill="1" applyBorder="1" applyAlignment="1">
      <alignment horizontal="center" vertical="center" wrapText="1"/>
    </xf>
    <xf numFmtId="0" fontId="0" fillId="38" borderId="10" xfId="0" applyFill="1" applyBorder="1" applyAlignment="1">
      <alignment horizontal="left" vertical="center" wrapText="1"/>
    </xf>
    <xf numFmtId="0" fontId="0" fillId="33" borderId="10" xfId="0" applyFill="1" applyBorder="1" applyAlignment="1">
      <alignment horizontal="center" vertical="center" wrapText="1"/>
    </xf>
    <xf numFmtId="0" fontId="0" fillId="4" borderId="10" xfId="0" applyFill="1" applyBorder="1" applyAlignment="1">
      <alignment vertical="center" wrapText="1"/>
    </xf>
    <xf numFmtId="0" fontId="0" fillId="0" borderId="0" xfId="0" applyAlignment="1">
      <alignment/>
    </xf>
    <xf numFmtId="0" fontId="0" fillId="0" borderId="10" xfId="0" applyBorder="1" applyAlignment="1">
      <alignment horizontal="left" vertical="center" wrapText="1"/>
    </xf>
    <xf numFmtId="0" fontId="0" fillId="0" borderId="10" xfId="0" applyFill="1" applyBorder="1" applyAlignment="1">
      <alignment horizontal="center" vertical="center" wrapText="1"/>
    </xf>
    <xf numFmtId="0" fontId="50" fillId="0" borderId="10" xfId="0" applyFont="1" applyFill="1" applyBorder="1" applyAlignment="1">
      <alignment horizontal="center" vertical="center" wrapText="1"/>
    </xf>
    <xf numFmtId="0" fontId="0" fillId="0" borderId="0" xfId="0" applyFill="1" applyAlignment="1">
      <alignment vertical="center" wrapText="1"/>
    </xf>
    <xf numFmtId="0" fontId="50" fillId="0" borderId="10" xfId="0" applyFont="1" applyFill="1" applyBorder="1" applyAlignment="1">
      <alignment vertical="center" wrapText="1"/>
    </xf>
    <xf numFmtId="0" fontId="50" fillId="0" borderId="10" xfId="0" applyFont="1" applyBorder="1" applyAlignment="1">
      <alignment vertical="center" wrapText="1"/>
    </xf>
    <xf numFmtId="0" fontId="0" fillId="0" borderId="10" xfId="0" applyFill="1" applyBorder="1" applyAlignment="1">
      <alignment horizontal="left" vertical="center" wrapText="1"/>
    </xf>
    <xf numFmtId="0" fontId="0" fillId="0" borderId="0" xfId="0" applyAlignment="1">
      <alignment horizontal="left" vertical="center" wrapText="1"/>
    </xf>
    <xf numFmtId="0" fontId="0" fillId="16" borderId="10" xfId="0" applyFill="1" applyBorder="1" applyAlignment="1">
      <alignment horizontal="center" vertical="center" wrapText="1"/>
    </xf>
    <xf numFmtId="0" fontId="50" fillId="16" borderId="10" xfId="0" applyFont="1" applyFill="1" applyBorder="1" applyAlignment="1">
      <alignment horizontal="center" vertical="center" wrapText="1"/>
    </xf>
    <xf numFmtId="0" fontId="0" fillId="16" borderId="10" xfId="0" applyFill="1" applyBorder="1" applyAlignment="1">
      <alignment vertical="center" wrapText="1"/>
    </xf>
    <xf numFmtId="0" fontId="0" fillId="8" borderId="10" xfId="0" applyFill="1" applyBorder="1" applyAlignment="1">
      <alignment vertical="center" wrapText="1"/>
    </xf>
    <xf numFmtId="0" fontId="50" fillId="39" borderId="25" xfId="0" applyFont="1" applyFill="1" applyBorder="1" applyAlignment="1">
      <alignment vertical="center" wrapText="1"/>
    </xf>
    <xf numFmtId="0" fontId="0" fillId="39" borderId="25" xfId="0" applyFill="1" applyBorder="1" applyAlignment="1">
      <alignment horizontal="left" vertical="center" wrapText="1"/>
    </xf>
    <xf numFmtId="0" fontId="0" fillId="39" borderId="25" xfId="0" applyFill="1" applyBorder="1" applyAlignment="1">
      <alignment horizontal="center" vertical="center" wrapText="1"/>
    </xf>
    <xf numFmtId="0" fontId="0" fillId="39" borderId="17" xfId="0" applyFill="1" applyBorder="1" applyAlignment="1">
      <alignment vertical="center" wrapText="1"/>
    </xf>
    <xf numFmtId="0" fontId="52" fillId="39" borderId="26" xfId="0" applyFont="1" applyFill="1" applyBorder="1" applyAlignment="1">
      <alignment horizontal="center" vertical="center" wrapText="1"/>
    </xf>
    <xf numFmtId="0" fontId="0" fillId="8" borderId="25" xfId="0" applyFill="1" applyBorder="1" applyAlignment="1">
      <alignment horizontal="center" vertical="center" wrapText="1"/>
    </xf>
    <xf numFmtId="0" fontId="0" fillId="8" borderId="17" xfId="0" applyFill="1" applyBorder="1" applyAlignment="1">
      <alignment vertical="center" wrapText="1"/>
    </xf>
    <xf numFmtId="0" fontId="52" fillId="8" borderId="26" xfId="0" applyFont="1" applyFill="1" applyBorder="1" applyAlignment="1">
      <alignment horizontal="center" vertical="center" wrapText="1"/>
    </xf>
    <xf numFmtId="0" fontId="31" fillId="6" borderId="27" xfId="0" applyFont="1" applyFill="1" applyBorder="1" applyAlignment="1">
      <alignment horizontal="center" vertical="center" wrapText="1"/>
    </xf>
    <xf numFmtId="0" fontId="50" fillId="10" borderId="10" xfId="0" applyFont="1" applyFill="1" applyBorder="1" applyAlignment="1">
      <alignment vertical="center" wrapText="1"/>
    </xf>
    <xf numFmtId="0" fontId="0" fillId="10" borderId="10" xfId="0" applyFill="1" applyBorder="1" applyAlignment="1">
      <alignment horizontal="left" vertical="center" wrapText="1"/>
    </xf>
    <xf numFmtId="0" fontId="0" fillId="10" borderId="10" xfId="0" applyFill="1" applyBorder="1" applyAlignment="1">
      <alignment horizontal="center" vertical="center" wrapText="1"/>
    </xf>
    <xf numFmtId="0" fontId="50" fillId="8" borderId="24" xfId="0" applyFont="1" applyFill="1" applyBorder="1" applyAlignment="1">
      <alignment vertical="center" wrapText="1"/>
    </xf>
    <xf numFmtId="0" fontId="0" fillId="8" borderId="24" xfId="0" applyFill="1" applyBorder="1" applyAlignment="1">
      <alignment horizontal="left" vertical="center" wrapText="1"/>
    </xf>
    <xf numFmtId="0" fontId="0" fillId="0" borderId="0" xfId="0" applyFill="1" applyAlignment="1">
      <alignment horizontal="center" vertical="center" wrapText="1"/>
    </xf>
    <xf numFmtId="0" fontId="0" fillId="6" borderId="27" xfId="0" applyFill="1" applyBorder="1" applyAlignment="1">
      <alignment horizontal="left" vertical="center" wrapText="1"/>
    </xf>
    <xf numFmtId="0" fontId="50" fillId="6" borderId="27" xfId="0" applyFont="1" applyFill="1" applyBorder="1" applyAlignment="1">
      <alignment horizontal="center" vertical="center" wrapText="1"/>
    </xf>
    <xf numFmtId="0" fontId="53" fillId="0" borderId="0" xfId="0" applyFont="1" applyAlignment="1">
      <alignment horizontal="left"/>
    </xf>
    <xf numFmtId="0" fontId="53" fillId="0" borderId="0" xfId="0" applyFont="1" applyFill="1" applyBorder="1" applyAlignment="1">
      <alignment/>
    </xf>
    <xf numFmtId="0" fontId="56" fillId="0" borderId="20" xfId="0" applyFont="1" applyBorder="1" applyAlignment="1">
      <alignment/>
    </xf>
    <xf numFmtId="0" fontId="47" fillId="18" borderId="18" xfId="0" applyFont="1" applyFill="1" applyBorder="1" applyAlignment="1">
      <alignment wrapText="1"/>
    </xf>
    <xf numFmtId="0" fontId="47" fillId="19" borderId="18" xfId="0" applyFont="1" applyFill="1" applyBorder="1" applyAlignment="1">
      <alignment wrapText="1"/>
    </xf>
    <xf numFmtId="0" fontId="0" fillId="34" borderId="18" xfId="0" applyFill="1" applyBorder="1" applyAlignment="1">
      <alignment wrapText="1"/>
    </xf>
    <xf numFmtId="0" fontId="0" fillId="36" borderId="19" xfId="0" applyFill="1" applyBorder="1" applyAlignment="1">
      <alignment wrapText="1"/>
    </xf>
    <xf numFmtId="0" fontId="59" fillId="0" borderId="19" xfId="0" applyFont="1" applyBorder="1" applyAlignment="1">
      <alignment/>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50" fillId="19" borderId="10" xfId="0" applyFont="1" applyFill="1" applyBorder="1" applyAlignment="1">
      <alignment vertical="center" wrapText="1"/>
    </xf>
    <xf numFmtId="0" fontId="50" fillId="19" borderId="10" xfId="0" applyFont="1" applyFill="1" applyBorder="1" applyAlignment="1">
      <alignment horizontal="left" vertical="center" wrapText="1"/>
    </xf>
    <xf numFmtId="0" fontId="0" fillId="0" borderId="10" xfId="0" applyBorder="1" applyAlignment="1">
      <alignment vertical="center" wrapText="1"/>
    </xf>
    <xf numFmtId="0" fontId="0" fillId="7" borderId="10" xfId="0" applyFill="1" applyBorder="1" applyAlignment="1">
      <alignment vertical="center" wrapText="1"/>
    </xf>
    <xf numFmtId="0" fontId="0" fillId="2" borderId="10" xfId="0" applyFill="1" applyBorder="1" applyAlignment="1">
      <alignment vertical="center" wrapText="1"/>
    </xf>
    <xf numFmtId="0" fontId="0" fillId="39" borderId="10" xfId="0" applyFill="1" applyBorder="1" applyAlignment="1">
      <alignment vertical="center" wrapText="1"/>
    </xf>
    <xf numFmtId="0" fontId="50" fillId="40" borderId="27" xfId="0" applyFont="1" applyFill="1" applyBorder="1" applyAlignment="1">
      <alignment vertical="center" wrapText="1"/>
    </xf>
    <xf numFmtId="0" fontId="31" fillId="10" borderId="27" xfId="0" applyFont="1" applyFill="1" applyBorder="1" applyAlignment="1">
      <alignment horizontal="left" vertical="center" wrapText="1"/>
    </xf>
    <xf numFmtId="0" fontId="31" fillId="16" borderId="27" xfId="0" applyFont="1" applyFill="1" applyBorder="1" applyAlignment="1">
      <alignment horizontal="left" vertical="center" wrapText="1"/>
    </xf>
    <xf numFmtId="0" fontId="47" fillId="0" borderId="28" xfId="0" applyFont="1" applyFill="1" applyBorder="1" applyAlignment="1">
      <alignment vertical="center" wrapText="1"/>
    </xf>
    <xf numFmtId="0" fontId="47" fillId="0" borderId="28" xfId="0" applyFont="1" applyFill="1" applyBorder="1" applyAlignment="1">
      <alignment/>
    </xf>
    <xf numFmtId="0" fontId="47" fillId="0" borderId="28" xfId="0" applyFont="1" applyFill="1" applyBorder="1" applyAlignment="1">
      <alignment/>
    </xf>
    <xf numFmtId="0" fontId="47" fillId="0" borderId="29" xfId="0" applyFont="1" applyFill="1" applyBorder="1" applyAlignment="1">
      <alignment/>
    </xf>
    <xf numFmtId="20" fontId="47" fillId="0" borderId="29" xfId="0" applyNumberFormat="1" applyFont="1" applyFill="1" applyBorder="1" applyAlignment="1">
      <alignment/>
    </xf>
    <xf numFmtId="0" fontId="0" fillId="0" borderId="11" xfId="0"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0" fillId="0" borderId="22" xfId="0" applyBorder="1" applyAlignment="1">
      <alignment vertical="center" wrapText="1"/>
    </xf>
    <xf numFmtId="0" fontId="0" fillId="0" borderId="30" xfId="0" applyBorder="1" applyAlignment="1">
      <alignment vertical="center" wrapText="1"/>
    </xf>
    <xf numFmtId="0" fontId="0" fillId="0" borderId="23" xfId="0" applyBorder="1" applyAlignment="1">
      <alignment vertical="center" wrapText="1"/>
    </xf>
    <xf numFmtId="0" fontId="0" fillId="0" borderId="13" xfId="0" applyBorder="1" applyAlignment="1">
      <alignment vertical="center" wrapText="1"/>
    </xf>
    <xf numFmtId="0" fontId="0" fillId="0" borderId="17" xfId="0" applyBorder="1" applyAlignment="1">
      <alignment vertical="center" wrapText="1"/>
    </xf>
    <xf numFmtId="0" fontId="0" fillId="0" borderId="14" xfId="0" applyBorder="1" applyAlignment="1">
      <alignment vertical="center" wrapText="1"/>
    </xf>
    <xf numFmtId="0" fontId="50" fillId="0" borderId="31" xfId="0" applyFont="1" applyFill="1" applyBorder="1" applyAlignment="1">
      <alignment horizontal="center" vertical="center" wrapText="1"/>
    </xf>
    <xf numFmtId="0" fontId="50" fillId="0" borderId="32" xfId="0" applyFont="1" applyFill="1" applyBorder="1" applyAlignment="1">
      <alignment horizontal="center" vertical="center" wrapText="1"/>
    </xf>
    <xf numFmtId="0" fontId="50" fillId="0" borderId="33" xfId="0" applyFont="1" applyFill="1" applyBorder="1" applyAlignment="1">
      <alignment horizontal="center" vertical="center" wrapText="1"/>
    </xf>
    <xf numFmtId="0" fontId="50" fillId="33" borderId="31" xfId="0" applyFont="1" applyFill="1" applyBorder="1" applyAlignment="1">
      <alignment horizontal="center" vertical="center" wrapText="1"/>
    </xf>
    <xf numFmtId="0" fontId="50" fillId="33" borderId="32" xfId="0" applyFont="1" applyFill="1" applyBorder="1" applyAlignment="1">
      <alignment horizontal="center" vertical="center" wrapText="1"/>
    </xf>
    <xf numFmtId="0" fontId="50" fillId="33" borderId="33"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Vulnerability</a:t>
            </a:r>
          </a:p>
        </c:rich>
      </c:tx>
      <c:layout>
        <c:manualLayout>
          <c:xMode val="factor"/>
          <c:yMode val="factor"/>
          <c:x val="-0.02975"/>
          <c:y val="0.01075"/>
        </c:manualLayout>
      </c:layout>
      <c:spPr>
        <a:noFill/>
        <a:ln w="3175">
          <a:noFill/>
        </a:ln>
      </c:spPr>
    </c:title>
    <c:plotArea>
      <c:layout>
        <c:manualLayout>
          <c:xMode val="edge"/>
          <c:yMode val="edge"/>
          <c:x val="0.11675"/>
          <c:y val="0.07425"/>
          <c:w val="0.80075"/>
          <c:h val="0.797"/>
        </c:manualLayout>
      </c:layout>
      <c:scatterChart>
        <c:scatterStyle val="lineMarker"/>
        <c:varyColors val="0"/>
        <c:ser>
          <c:idx val="0"/>
          <c:order val="0"/>
          <c:tx>
            <c:v>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FFFF"/>
              </a:solidFill>
              <a:ln>
                <a:solidFill>
                  <a:srgbClr val="000000"/>
                </a:solidFill>
              </a:ln>
            </c:spPr>
          </c:marker>
          <c:dPt>
            <c:idx val="0"/>
            <c:spPr>
              <a:ln w="3175">
                <a:noFill/>
              </a:ln>
            </c:spPr>
            <c:marker>
              <c:size val="18"/>
              <c:spPr>
                <a:solidFill>
                  <a:srgbClr val="FFFFFF"/>
                </a:solidFill>
                <a:ln>
                  <a:solidFill>
                    <a:srgbClr val="000000"/>
                  </a:solidFill>
                </a:ln>
              </c:spPr>
            </c:marker>
          </c:dPt>
          <c:dLbls>
            <c:dLbl>
              <c:idx val="0"/>
              <c:tx>
                <c:rich>
                  <a:bodyPr vert="horz" rot="0" anchor="ctr"/>
                  <a:lstStyle/>
                  <a:p>
                    <a:pPr algn="ctr">
                      <a:defRPr/>
                    </a:pPr>
                    <a:r>
                      <a:rPr lang="en-US" cap="none" sz="1100" b="0" i="0" u="none" baseline="0">
                        <a:solidFill>
                          <a:srgbClr val="000000"/>
                        </a:solidFill>
                        <a:latin typeface="Calibri"/>
                        <a:ea typeface="Calibri"/>
                        <a:cs typeface="Calibri"/>
                      </a:rPr>
                      <a:t>1</a:t>
                    </a:r>
                  </a:p>
                </c:rich>
              </c:tx>
              <c:numFmt formatCode="General" sourceLinked="1"/>
              <c:spPr>
                <a:noFill/>
                <a:ln w="3175">
                  <a:noFill/>
                </a:ln>
              </c:spPr>
              <c:dLblPos val="ctr"/>
              <c:showLegendKey val="0"/>
              <c:showVal val="0"/>
              <c:showBubbleSize val="0"/>
              <c:showCatName val="1"/>
              <c:showSerName val="0"/>
              <c:showPercent val="0"/>
            </c:dLbl>
            <c:numFmt formatCode="General" sourceLinked="1"/>
            <c:txPr>
              <a:bodyPr vert="horz" rot="0" anchor="ctr"/>
              <a:lstStyle/>
              <a:p>
                <a:pPr algn="ctr">
                  <a:defRPr lang="en-US" cap="none" sz="1100" b="0" i="0" u="none" baseline="0">
                    <a:solidFill>
                      <a:srgbClr val="000000"/>
                    </a:solidFill>
                    <a:latin typeface="Calibri"/>
                    <a:ea typeface="Calibri"/>
                    <a:cs typeface="Calibri"/>
                  </a:defRPr>
                </a:pPr>
              </a:p>
            </c:txPr>
            <c:dLblPos val="ctr"/>
            <c:showLegendKey val="0"/>
            <c:showVal val="1"/>
            <c:showBubbleSize val="0"/>
            <c:showCatName val="0"/>
            <c:showSerName val="0"/>
            <c:showPercent val="0"/>
          </c:dLbls>
          <c:xVal>
            <c:numRef>
              <c:f>'PSA results and graph'!$C$2</c:f>
              <c:numCache/>
            </c:numRef>
          </c:xVal>
          <c:yVal>
            <c:numRef>
              <c:f>'PSA results and graph'!$D$2</c:f>
              <c:numCache/>
            </c:numRef>
          </c:yVal>
          <c:smooth val="0"/>
        </c:ser>
        <c:ser>
          <c:idx val="1"/>
          <c:order val="1"/>
          <c:tx>
            <c:v>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showLegendKey val="0"/>
            <c:showVal val="1"/>
            <c:showBubbleSize val="0"/>
            <c:showCatName val="0"/>
            <c:showSerName val="0"/>
            <c:showPercent val="0"/>
          </c:dLbls>
          <c:xVal>
            <c:numRef>
              <c:f>'PSA results and graph'!$C$3</c:f>
              <c:numCache/>
            </c:numRef>
          </c:xVal>
          <c:yVal>
            <c:numRef>
              <c:f>'PSA results and graph'!$D$3</c:f>
              <c:numCache/>
            </c:numRef>
          </c:yVal>
          <c:smooth val="0"/>
        </c:ser>
        <c:ser>
          <c:idx val="2"/>
          <c:order val="2"/>
          <c:tx>
            <c:v>3</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dLblPos val="ctr"/>
            <c:showLegendKey val="0"/>
            <c:showVal val="0"/>
            <c:showBubbleSize val="0"/>
            <c:showCatName val="0"/>
            <c:showSerName val="1"/>
            <c:showPercent val="0"/>
          </c:dLbls>
          <c:xVal>
            <c:numRef>
              <c:f>'PSA results and graph'!$C$4</c:f>
              <c:numCache/>
            </c:numRef>
          </c:xVal>
          <c:yVal>
            <c:numRef>
              <c:f>'PSA results and graph'!$D$4</c:f>
              <c:numCache/>
            </c:numRef>
          </c:yVal>
          <c:smooth val="0"/>
        </c:ser>
        <c:ser>
          <c:idx val="3"/>
          <c:order val="3"/>
          <c:tx>
            <c:v>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dLblPos val="ctr"/>
            <c:showLegendKey val="0"/>
            <c:showVal val="0"/>
            <c:showBubbleSize val="0"/>
            <c:showCatName val="0"/>
            <c:showSerName val="1"/>
            <c:showPercent val="0"/>
          </c:dLbls>
          <c:xVal>
            <c:numRef>
              <c:f>'PSA results and graph'!$C$5</c:f>
              <c:numCache/>
            </c:numRef>
          </c:xVal>
          <c:yVal>
            <c:numRef>
              <c:f>'PSA results and graph'!$D$5</c:f>
              <c:numCache/>
            </c:numRef>
          </c:yVal>
          <c:smooth val="0"/>
        </c:ser>
        <c:ser>
          <c:idx val="4"/>
          <c:order val="4"/>
          <c:tx>
            <c:v>5</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dLblPos val="ctr"/>
            <c:showLegendKey val="0"/>
            <c:showVal val="0"/>
            <c:showBubbleSize val="0"/>
            <c:showCatName val="0"/>
            <c:showSerName val="1"/>
            <c:showPercent val="0"/>
          </c:dLbls>
          <c:xVal>
            <c:numRef>
              <c:f>'PSA results and graph'!$C$6</c:f>
              <c:numCache/>
            </c:numRef>
          </c:xVal>
          <c:yVal>
            <c:numRef>
              <c:f>'PSA results and graph'!$D$6</c:f>
              <c:numCache/>
            </c:numRef>
          </c:yVal>
          <c:smooth val="0"/>
        </c:ser>
        <c:ser>
          <c:idx val="5"/>
          <c:order val="5"/>
          <c:tx>
            <c:v>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dLblPos val="ctr"/>
            <c:showLegendKey val="0"/>
            <c:showVal val="0"/>
            <c:showBubbleSize val="0"/>
            <c:showCatName val="0"/>
            <c:showSerName val="1"/>
            <c:showPercent val="0"/>
          </c:dLbls>
          <c:xVal>
            <c:numRef>
              <c:f>'PSA results and graph'!$C$7</c:f>
              <c:numCache/>
            </c:numRef>
          </c:xVal>
          <c:yVal>
            <c:numRef>
              <c:f>'PSA results and graph'!$D$7</c:f>
              <c:numCache/>
            </c:numRef>
          </c:yVal>
          <c:smooth val="0"/>
        </c:ser>
        <c:ser>
          <c:idx val="6"/>
          <c:order val="6"/>
          <c:tx>
            <c:v>7</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dLblPos val="ctr"/>
            <c:showLegendKey val="0"/>
            <c:showVal val="0"/>
            <c:showBubbleSize val="0"/>
            <c:showCatName val="0"/>
            <c:showSerName val="1"/>
            <c:showPercent val="0"/>
          </c:dLbls>
          <c:xVal>
            <c:numRef>
              <c:f>'PSA results and graph'!$C$8</c:f>
              <c:numCache/>
            </c:numRef>
          </c:xVal>
          <c:yVal>
            <c:numRef>
              <c:f>'PSA results and graph'!$D$8</c:f>
              <c:numCache/>
            </c:numRef>
          </c:yVal>
          <c:smooth val="0"/>
        </c:ser>
        <c:ser>
          <c:idx val="7"/>
          <c:order val="7"/>
          <c:tx>
            <c:v>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showLegendKey val="0"/>
            <c:showVal val="1"/>
            <c:showBubbleSize val="0"/>
            <c:showCatName val="0"/>
            <c:showSerName val="0"/>
            <c:showPercent val="0"/>
          </c:dLbls>
          <c:xVal>
            <c:numRef>
              <c:f>'PSA results and graph'!$C$9</c:f>
              <c:numCache/>
            </c:numRef>
          </c:xVal>
          <c:yVal>
            <c:numRef>
              <c:f>'PSA results and graph'!$D$9</c:f>
              <c:numCache/>
            </c:numRef>
          </c:yVal>
          <c:smooth val="0"/>
        </c:ser>
        <c:ser>
          <c:idx val="8"/>
          <c:order val="8"/>
          <c:tx>
            <c:v>9</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dLblPos val="ctr"/>
            <c:showLegendKey val="0"/>
            <c:showVal val="0"/>
            <c:showBubbleSize val="0"/>
            <c:showCatName val="0"/>
            <c:showSerName val="1"/>
            <c:showPercent val="0"/>
          </c:dLbls>
          <c:xVal>
            <c:numRef>
              <c:f>'PSA results and graph'!$C$10</c:f>
              <c:numCache/>
            </c:numRef>
          </c:xVal>
          <c:yVal>
            <c:numRef>
              <c:f>'PSA results and graph'!$D$10</c:f>
              <c:numCache/>
            </c:numRef>
          </c:yVal>
          <c:smooth val="0"/>
        </c:ser>
        <c:ser>
          <c:idx val="9"/>
          <c:order val="9"/>
          <c:tx>
            <c:v>10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0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graph'!$C$11</c:f>
              <c:numCache/>
            </c:numRef>
          </c:xVal>
          <c:yVal>
            <c:numRef>
              <c:f>'PSA results and graph'!$D$11</c:f>
              <c:numCache/>
            </c:numRef>
          </c:yVal>
          <c:smooth val="0"/>
        </c:ser>
        <c:ser>
          <c:idx val="10"/>
          <c:order val="10"/>
          <c:tx>
            <c:v>11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1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graph'!$C$12</c:f>
              <c:numCache/>
            </c:numRef>
          </c:xVal>
          <c:yVal>
            <c:numRef>
              <c:f>'PSA results and graph'!$D$12</c:f>
              <c:numCache/>
            </c:numRef>
          </c:yVal>
          <c:smooth val="0"/>
        </c:ser>
        <c:ser>
          <c:idx val="11"/>
          <c:order val="11"/>
          <c:tx>
            <c:v>12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1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graph'!$C$13</c:f>
              <c:numCache/>
            </c:numRef>
          </c:xVal>
          <c:yVal>
            <c:numRef>
              <c:f>'PSA results and graph'!$D$13</c:f>
              <c:numCache/>
            </c:numRef>
          </c:yVal>
          <c:smooth val="0"/>
        </c:ser>
        <c:ser>
          <c:idx val="12"/>
          <c:order val="12"/>
          <c:tx>
            <c:v>13</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1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graph'!$C$14</c:f>
              <c:numCache/>
            </c:numRef>
          </c:xVal>
          <c:yVal>
            <c:numRef>
              <c:f>'PSA results and graph'!$D$14</c:f>
              <c:numCache/>
            </c:numRef>
          </c:yVal>
          <c:smooth val="0"/>
        </c:ser>
        <c:ser>
          <c:idx val="13"/>
          <c:order val="13"/>
          <c:tx>
            <c:v>14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1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graph'!$C$15</c:f>
              <c:numCache/>
            </c:numRef>
          </c:xVal>
          <c:yVal>
            <c:numRef>
              <c:f>'PSA results and graph'!$D$15</c:f>
              <c:numCache/>
            </c:numRef>
          </c:yVal>
          <c:smooth val="0"/>
        </c:ser>
        <c:ser>
          <c:idx val="14"/>
          <c:order val="14"/>
          <c:tx>
            <c:v>15</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1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graph'!$C$16</c:f>
              <c:numCache/>
            </c:numRef>
          </c:xVal>
          <c:yVal>
            <c:numRef>
              <c:f>'PSA results and graph'!$D$16</c:f>
              <c:numCache/>
            </c:numRef>
          </c:yVal>
          <c:smooth val="0"/>
        </c:ser>
        <c:ser>
          <c:idx val="15"/>
          <c:order val="15"/>
          <c:tx>
            <c:v>16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1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graph'!$C$17</c:f>
              <c:numCache/>
            </c:numRef>
          </c:xVal>
          <c:yVal>
            <c:numRef>
              <c:f>'PSA results and graph'!$D$17</c:f>
              <c:numCache/>
            </c:numRef>
          </c:yVal>
          <c:smooth val="0"/>
        </c:ser>
        <c:ser>
          <c:idx val="16"/>
          <c:order val="16"/>
          <c:tx>
            <c:v>17</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1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graph'!$C$18</c:f>
              <c:numCache/>
            </c:numRef>
          </c:xVal>
          <c:yVal>
            <c:numRef>
              <c:f>'PSA results and graph'!$D$18</c:f>
              <c:numCache/>
            </c:numRef>
          </c:yVal>
          <c:smooth val="0"/>
        </c:ser>
        <c:ser>
          <c:idx val="17"/>
          <c:order val="17"/>
          <c:tx>
            <c:v>18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1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graph'!$C$19</c:f>
              <c:numCache/>
            </c:numRef>
          </c:xVal>
          <c:yVal>
            <c:numRef>
              <c:f>'PSA results and graph'!$D$19</c:f>
              <c:numCache/>
            </c:numRef>
          </c:yVal>
          <c:smooth val="0"/>
        </c:ser>
        <c:ser>
          <c:idx val="18"/>
          <c:order val="18"/>
          <c:tx>
            <c:v>20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1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graph'!$C$20</c:f>
              <c:numCache/>
            </c:numRef>
          </c:xVal>
          <c:yVal>
            <c:numRef>
              <c:f>'PSA results and graph'!$D$20</c:f>
              <c:numCache/>
            </c:numRef>
          </c:yVal>
          <c:smooth val="0"/>
        </c:ser>
        <c:ser>
          <c:idx val="19"/>
          <c:order val="19"/>
          <c:tx>
            <c:v>21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showLegendKey val="0"/>
            <c:showVal val="1"/>
            <c:showBubbleSize val="0"/>
            <c:showCatName val="0"/>
            <c:showSerName val="0"/>
            <c:showPercent val="0"/>
          </c:dLbls>
          <c:xVal>
            <c:numRef>
              <c:f>'PSA results and graph'!$C$21</c:f>
              <c:numCache/>
            </c:numRef>
          </c:xVal>
          <c:yVal>
            <c:numRef>
              <c:f>'PSA results and graph'!$D$21</c:f>
              <c:numCache/>
            </c:numRef>
          </c:yVal>
          <c:smooth val="0"/>
        </c:ser>
        <c:ser>
          <c:idx val="20"/>
          <c:order val="20"/>
          <c:tx>
            <c:v>22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1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graph'!$C$22</c:f>
              <c:numCache/>
            </c:numRef>
          </c:xVal>
          <c:yVal>
            <c:numRef>
              <c:f>'PSA results and graph'!$D$22</c:f>
              <c:numCache/>
            </c:numRef>
          </c:yVal>
          <c:smooth val="0"/>
        </c:ser>
        <c:ser>
          <c:idx val="21"/>
          <c:order val="21"/>
          <c:tx>
            <c:v>23</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1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graph'!$C$23</c:f>
              <c:numCache/>
            </c:numRef>
          </c:xVal>
          <c:yVal>
            <c:numRef>
              <c:f>'PSA results and graph'!$D$23</c:f>
              <c:numCache/>
            </c:numRef>
          </c:yVal>
          <c:smooth val="0"/>
        </c:ser>
        <c:ser>
          <c:idx val="22"/>
          <c:order val="22"/>
          <c:tx>
            <c:v>24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2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graph'!$C$25</c:f>
              <c:numCache/>
            </c:numRef>
          </c:xVal>
          <c:yVal>
            <c:numRef>
              <c:f>'PSA results and graph'!$D$25</c:f>
              <c:numCache/>
            </c:numRef>
          </c:yVal>
          <c:smooth val="0"/>
        </c:ser>
        <c:ser>
          <c:idx val="23"/>
          <c:order val="23"/>
          <c:tx>
            <c:v>25</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2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graph'!$C$26</c:f>
              <c:numCache/>
            </c:numRef>
          </c:xVal>
          <c:yVal>
            <c:numRef>
              <c:f>'PSA results and graph'!$D$26</c:f>
              <c:numCache/>
            </c:numRef>
          </c:yVal>
          <c:smooth val="0"/>
        </c:ser>
        <c:ser>
          <c:idx val="24"/>
          <c:order val="24"/>
          <c:tx>
            <c:v>26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2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graph'!$C$27</c:f>
              <c:numCache/>
            </c:numRef>
          </c:xVal>
          <c:yVal>
            <c:numRef>
              <c:f>'PSA results and graph'!$D$27</c:f>
              <c:numCache/>
            </c:numRef>
          </c:yVal>
          <c:smooth val="0"/>
        </c:ser>
        <c:ser>
          <c:idx val="25"/>
          <c:order val="25"/>
          <c:tx>
            <c:v>27</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2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graph'!$C$28</c:f>
              <c:numCache/>
            </c:numRef>
          </c:xVal>
          <c:yVal>
            <c:numRef>
              <c:f>'PSA results and graph'!$D$28</c:f>
              <c:numCache/>
            </c:numRef>
          </c:yVal>
          <c:smooth val="0"/>
        </c:ser>
        <c:ser>
          <c:idx val="26"/>
          <c:order val="26"/>
          <c:tx>
            <c:v>28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2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graph'!$C$29</c:f>
              <c:numCache/>
            </c:numRef>
          </c:xVal>
          <c:yVal>
            <c:numRef>
              <c:f>'PSA results and graph'!$D$29</c:f>
              <c:numCache/>
            </c:numRef>
          </c:yVal>
          <c:smooth val="0"/>
        </c:ser>
        <c:ser>
          <c:idx val="27"/>
          <c:order val="27"/>
          <c:tx>
            <c:v>29</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2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graph'!$C$30</c:f>
              <c:numCache/>
            </c:numRef>
          </c:xVal>
          <c:yVal>
            <c:numRef>
              <c:f>'PSA results and graph'!$D$30</c:f>
              <c:numCache/>
            </c:numRef>
          </c:yVal>
          <c:smooth val="0"/>
        </c:ser>
        <c:ser>
          <c:idx val="28"/>
          <c:order val="28"/>
          <c:tx>
            <c:v>30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2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graph'!$C$31</c:f>
              <c:numCache/>
            </c:numRef>
          </c:xVal>
          <c:yVal>
            <c:numRef>
              <c:f>'PSA results and graph'!$D$31</c:f>
              <c:numCache/>
            </c:numRef>
          </c:yVal>
          <c:smooth val="0"/>
        </c:ser>
        <c:ser>
          <c:idx val="29"/>
          <c:order val="29"/>
          <c:tx>
            <c:v>31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2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graph'!$C$32</c:f>
              <c:numCache/>
            </c:numRef>
          </c:xVal>
          <c:yVal>
            <c:numRef>
              <c:f>'PSA results and graph'!$D$32</c:f>
              <c:numCache/>
            </c:numRef>
          </c:yVal>
          <c:smooth val="0"/>
        </c:ser>
        <c:ser>
          <c:idx val="30"/>
          <c:order val="30"/>
          <c:tx>
            <c:v>32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2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graph'!$C$33</c:f>
              <c:numCache/>
            </c:numRef>
          </c:xVal>
          <c:yVal>
            <c:numRef>
              <c:f>'PSA results and graph'!$D$33</c:f>
              <c:numCache/>
            </c:numRef>
          </c:yVal>
          <c:smooth val="0"/>
        </c:ser>
        <c:ser>
          <c:idx val="31"/>
          <c:order val="31"/>
          <c:tx>
            <c:v>33</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2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graph'!$C$34</c:f>
              <c:numCache/>
            </c:numRef>
          </c:xVal>
          <c:yVal>
            <c:numRef>
              <c:f>'PSA results and graph'!$D$34</c:f>
              <c:numCache/>
            </c:numRef>
          </c:yVal>
          <c:smooth val="0"/>
        </c:ser>
        <c:ser>
          <c:idx val="32"/>
          <c:order val="32"/>
          <c:tx>
            <c:v>34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2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graph'!$C$35</c:f>
              <c:numCache/>
            </c:numRef>
          </c:xVal>
          <c:yVal>
            <c:numRef>
              <c:f>'PSA results and graph'!$D$35</c:f>
              <c:numCache/>
            </c:numRef>
          </c:yVal>
          <c:smooth val="0"/>
        </c:ser>
        <c:ser>
          <c:idx val="33"/>
          <c:order val="33"/>
          <c:tx>
            <c:v>35</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2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graph'!$C$36</c:f>
              <c:numCache/>
            </c:numRef>
          </c:xVal>
          <c:yVal>
            <c:numRef>
              <c:f>'PSA results and graph'!$D$36</c:f>
              <c:numCache/>
            </c:numRef>
          </c:yVal>
          <c:smooth val="0"/>
        </c:ser>
        <c:ser>
          <c:idx val="34"/>
          <c:order val="34"/>
          <c:tx>
            <c:v>36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2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graph'!$C$37</c:f>
              <c:numCache/>
            </c:numRef>
          </c:xVal>
          <c:yVal>
            <c:numRef>
              <c:f>'PSA results and graph'!$D$37</c:f>
              <c:numCache/>
            </c:numRef>
          </c:yVal>
          <c:smooth val="0"/>
        </c:ser>
        <c:ser>
          <c:idx val="35"/>
          <c:order val="35"/>
          <c:tx>
            <c:v>37</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2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graph'!$C$38</c:f>
              <c:numCache/>
            </c:numRef>
          </c:xVal>
          <c:yVal>
            <c:numRef>
              <c:f>'PSA results and graph'!$D$38</c:f>
              <c:numCache/>
            </c:numRef>
          </c:yVal>
          <c:smooth val="0"/>
        </c:ser>
        <c:ser>
          <c:idx val="36"/>
          <c:order val="36"/>
          <c:tx>
            <c:v>38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2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graph'!$C$39</c:f>
              <c:numCache/>
            </c:numRef>
          </c:xVal>
          <c:yVal>
            <c:numRef>
              <c:f>'PSA results and graph'!$D$39</c:f>
              <c:numCache/>
            </c:numRef>
          </c:yVal>
          <c:smooth val="0"/>
        </c:ser>
        <c:ser>
          <c:idx val="37"/>
          <c:order val="37"/>
          <c:tx>
            <c:v>39</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2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graph'!$C$40</c:f>
              <c:numCache/>
            </c:numRef>
          </c:xVal>
          <c:yVal>
            <c:numRef>
              <c:f>'PSA results and graph'!$D$40</c:f>
              <c:numCache/>
            </c:numRef>
          </c:yVal>
          <c:smooth val="0"/>
        </c:ser>
        <c:ser>
          <c:idx val="38"/>
          <c:order val="38"/>
          <c:tx>
            <c:v>40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2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graph'!$C$41</c:f>
              <c:numCache/>
            </c:numRef>
          </c:xVal>
          <c:yVal>
            <c:numRef>
              <c:f>'PSA results and graph'!$D$41</c:f>
              <c:numCache/>
            </c:numRef>
          </c:yVal>
          <c:smooth val="0"/>
        </c:ser>
        <c:ser>
          <c:idx val="39"/>
          <c:order val="39"/>
          <c:tx>
            <c:v>41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0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graph'!$C$42</c:f>
              <c:numCache/>
            </c:numRef>
          </c:xVal>
          <c:yVal>
            <c:numRef>
              <c:f>'PSA results and graph'!$D$42</c:f>
              <c:numCache/>
            </c:numRef>
          </c:yVal>
          <c:smooth val="0"/>
        </c:ser>
        <c:ser>
          <c:idx val="40"/>
          <c:order val="40"/>
          <c:tx>
            <c:v>42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0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graph'!$C$43</c:f>
              <c:numCache/>
            </c:numRef>
          </c:xVal>
          <c:yVal>
            <c:numRef>
              <c:f>'PSA results and graph'!$D$43</c:f>
              <c:numCache/>
            </c:numRef>
          </c:yVal>
          <c:smooth val="0"/>
        </c:ser>
        <c:ser>
          <c:idx val="41"/>
          <c:order val="41"/>
          <c:tx>
            <c:v>43</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0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graph'!$C$44</c:f>
              <c:numCache/>
            </c:numRef>
          </c:xVal>
          <c:yVal>
            <c:numRef>
              <c:f>'PSA results and graph'!$D$44</c:f>
              <c:numCache/>
            </c:numRef>
          </c:yVal>
          <c:smooth val="0"/>
        </c:ser>
        <c:ser>
          <c:idx val="42"/>
          <c:order val="42"/>
          <c:tx>
            <c:v>44</c:v>
          </c:tx>
          <c:spPr>
            <a:ln w="3175">
              <a:no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C0C0C0"/>
              </a:solidFill>
              <a:ln>
                <a:solidFill>
                  <a:srgbClr val="C0C0C0"/>
                </a:solidFill>
              </a:ln>
            </c:spPr>
          </c:marker>
          <c:dPt>
            <c:idx val="0"/>
            <c:spPr>
              <a:ln w="3175">
                <a:noFill/>
              </a:ln>
            </c:spPr>
            <c:marker>
              <c:symbol val="circle"/>
              <c:size val="16"/>
              <c:spPr>
                <a:solidFill>
                  <a:srgbClr val="FFFFFF"/>
                </a:solidFill>
                <a:ln>
                  <a:solidFill>
                    <a:srgbClr val="000000"/>
                  </a:solidFill>
                </a:ln>
              </c:spPr>
            </c:marker>
          </c:dPt>
          <c:dLbls>
            <c:numFmt formatCode="General" sourceLinked="1"/>
            <c:txPr>
              <a:bodyPr vert="horz" rot="0" anchor="ctr"/>
              <a:lstStyle/>
              <a:p>
                <a:pPr algn="ctr">
                  <a:defRPr lang="en-US" cap="none" sz="10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graph'!$C$45</c:f>
              <c:numCache/>
            </c:numRef>
          </c:xVal>
          <c:yVal>
            <c:numRef>
              <c:f>'PSA results and graph'!$D$45</c:f>
              <c:numCache/>
            </c:numRef>
          </c:yVal>
          <c:smooth val="0"/>
        </c:ser>
        <c:ser>
          <c:idx val="43"/>
          <c:order val="43"/>
          <c:tx>
            <c:v>45</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0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graph'!$C$46</c:f>
              <c:numCache/>
            </c:numRef>
          </c:xVal>
          <c:yVal>
            <c:numRef>
              <c:f>'PSA results and graph'!$D$46</c:f>
              <c:numCache/>
            </c:numRef>
          </c:yVal>
          <c:smooth val="0"/>
        </c:ser>
        <c:ser>
          <c:idx val="44"/>
          <c:order val="44"/>
          <c:tx>
            <c:v>46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0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graph'!$C$47</c:f>
              <c:numCache/>
            </c:numRef>
          </c:xVal>
          <c:yVal>
            <c:numRef>
              <c:f>'PSA results and graph'!$D$47</c:f>
              <c:numCache/>
            </c:numRef>
          </c:yVal>
          <c:smooth val="0"/>
        </c:ser>
        <c:ser>
          <c:idx val="45"/>
          <c:order val="45"/>
          <c:tx>
            <c:v>47</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C0C0C0"/>
              </a:solidFill>
              <a:ln>
                <a:solidFill>
                  <a:srgbClr val="C0C0C0"/>
                </a:solidFill>
              </a:ln>
            </c:spPr>
          </c:marker>
          <c:dPt>
            <c:idx val="0"/>
            <c:spPr>
              <a:ln w="3175">
                <a:noFill/>
              </a:ln>
            </c:spPr>
            <c:marker>
              <c:symbol val="circle"/>
              <c:size val="16"/>
              <c:spPr>
                <a:solidFill>
                  <a:srgbClr val="FFFFFF"/>
                </a:solidFill>
                <a:ln>
                  <a:solidFill>
                    <a:srgbClr val="000000"/>
                  </a:solidFill>
                </a:ln>
              </c:spPr>
            </c:marker>
          </c:dPt>
          <c:dLbls>
            <c:numFmt formatCode="General" sourceLinked="1"/>
            <c:txPr>
              <a:bodyPr vert="horz" rot="0" anchor="ctr"/>
              <a:lstStyle/>
              <a:p>
                <a:pPr algn="ctr">
                  <a:defRPr lang="en-US" cap="none" sz="10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graph'!$C$48</c:f>
              <c:numCache/>
            </c:numRef>
          </c:xVal>
          <c:yVal>
            <c:numRef>
              <c:f>'PSA results and graph'!$D$48</c:f>
              <c:numCache/>
            </c:numRef>
          </c:yVal>
          <c:smooth val="0"/>
        </c:ser>
        <c:ser>
          <c:idx val="46"/>
          <c:order val="46"/>
          <c:tx>
            <c:v>48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0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graph'!$C$49</c:f>
              <c:numCache/>
            </c:numRef>
          </c:xVal>
          <c:yVal>
            <c:numRef>
              <c:f>'PSA results and graph'!$D$49</c:f>
              <c:numCache/>
            </c:numRef>
          </c:yVal>
          <c:smooth val="0"/>
        </c:ser>
        <c:ser>
          <c:idx val="47"/>
          <c:order val="47"/>
          <c:tx>
            <c:v>49</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0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graph'!$C$50</c:f>
              <c:numCache/>
            </c:numRef>
          </c:xVal>
          <c:yVal>
            <c:numRef>
              <c:f>'PSA results and graph'!$D$50</c:f>
              <c:numCache/>
            </c:numRef>
          </c:yVal>
          <c:smooth val="0"/>
        </c:ser>
        <c:ser>
          <c:idx val="48"/>
          <c:order val="48"/>
          <c:tx>
            <c:v>50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2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graph'!$C$51</c:f>
              <c:numCache/>
            </c:numRef>
          </c:xVal>
          <c:yVal>
            <c:numRef>
              <c:f>'PSA results and graph'!$D$51</c:f>
              <c:numCache/>
            </c:numRef>
          </c:yVal>
          <c:smooth val="0"/>
        </c:ser>
        <c:axId val="9653836"/>
        <c:axId val="19775661"/>
      </c:scatterChart>
      <c:valAx>
        <c:axId val="9653836"/>
        <c:scaling>
          <c:orientation val="maxMin"/>
          <c:max val="3"/>
          <c:min val="1"/>
        </c:scaling>
        <c:axPos val="b"/>
        <c:title>
          <c:tx>
            <c:rich>
              <a:bodyPr vert="horz" rot="0" anchor="ctr"/>
              <a:lstStyle/>
              <a:p>
                <a:pPr algn="ctr">
                  <a:defRPr/>
                </a:pPr>
                <a:r>
                  <a:rPr lang="en-US" cap="none" sz="1800" b="1" i="0" u="none" baseline="0">
                    <a:solidFill>
                      <a:srgbClr val="000000"/>
                    </a:solidFill>
                    <a:latin typeface="Calibri"/>
                    <a:ea typeface="Calibri"/>
                    <a:cs typeface="Calibri"/>
                  </a:rPr>
                  <a:t>Productivity</a:t>
                </a:r>
              </a:p>
            </c:rich>
          </c:tx>
          <c:layout>
            <c:manualLayout>
              <c:xMode val="factor"/>
              <c:yMode val="factor"/>
              <c:x val="-0.00475"/>
              <c:y val="-0.006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9775661"/>
        <c:crosses val="max"/>
        <c:crossBetween val="midCat"/>
        <c:dispUnits/>
      </c:valAx>
      <c:valAx>
        <c:axId val="19775661"/>
        <c:scaling>
          <c:orientation val="minMax"/>
          <c:max val="3"/>
          <c:min val="1"/>
        </c:scaling>
        <c:axPos val="r"/>
        <c:title>
          <c:tx>
            <c:rich>
              <a:bodyPr vert="horz" rot="-5400000" anchor="ctr"/>
              <a:lstStyle/>
              <a:p>
                <a:pPr algn="ctr">
                  <a:defRPr/>
                </a:pPr>
                <a:r>
                  <a:rPr lang="en-US" cap="none" sz="1800" b="1" i="0" u="none" baseline="0">
                    <a:solidFill>
                      <a:srgbClr val="000000"/>
                    </a:solidFill>
                    <a:latin typeface="Calibri"/>
                    <a:ea typeface="Calibri"/>
                    <a:cs typeface="Calibri"/>
                  </a:rPr>
                  <a:t>Susceptibility</a:t>
                </a:r>
              </a:p>
            </c:rich>
          </c:tx>
          <c:layout>
            <c:manualLayout>
              <c:xMode val="factor"/>
              <c:yMode val="factor"/>
              <c:x val="-0.02125"/>
              <c:y val="0.011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653836"/>
        <c:crosses val="max"/>
        <c:crossBetween val="midCat"/>
        <c:dispUnits/>
        <c:minorUnit val="0.1"/>
      </c:valAx>
      <c:spPr>
        <a:gradFill rotWithShape="1">
          <a:gsLst>
            <a:gs pos="44000">
              <a:srgbClr val="FFFF00"/>
            </a:gs>
            <a:gs pos="53000">
              <a:srgbClr val="FFFF00"/>
            </a:gs>
            <a:gs pos="66000">
              <a:srgbClr val="FFFF00"/>
            </a:gs>
            <a:gs pos="82001">
              <a:srgbClr val="00B050"/>
            </a:gs>
            <a:gs pos="100000">
              <a:srgbClr val="00B050"/>
            </a:gs>
          </a:gsLst>
          <a:path path="rect">
            <a:fillToRect l="50000" t="50000" r="50000" b="50000"/>
          </a:path>
        </a:gradFill>
        <a:ln w="3175">
          <a:noFill/>
        </a:ln>
      </c:spPr>
    </c:plotArea>
    <c:plotVisOnly val="1"/>
    <c:dispBlanksAs val="gap"/>
    <c:showDLblsOverMax val="0"/>
  </c:chart>
  <c:spPr>
    <a:noFill/>
    <a:ln w="3175">
      <a:noFill/>
    </a:ln>
  </c:spPr>
  <c:txPr>
    <a:bodyPr vert="horz" rot="0"/>
    <a:lstStyle/>
    <a:p>
      <a:pPr>
        <a:defRPr lang="en-US" cap="none" sz="14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1390650</xdr:colOff>
      <xdr:row>6</xdr:row>
      <xdr:rowOff>133350</xdr:rowOff>
    </xdr:from>
    <xdr:to>
      <xdr:col>13</xdr:col>
      <xdr:colOff>600075</xdr:colOff>
      <xdr:row>37</xdr:row>
      <xdr:rowOff>142875</xdr:rowOff>
    </xdr:to>
    <xdr:graphicFrame>
      <xdr:nvGraphicFramePr>
        <xdr:cNvPr id="1" name="Chart 1"/>
        <xdr:cNvGraphicFramePr/>
      </xdr:nvGraphicFramePr>
      <xdr:xfrm>
        <a:off x="13677900" y="1733550"/>
        <a:ext cx="9867900" cy="7143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nft.nefsc.noaa.gov/"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B1:O23"/>
  <sheetViews>
    <sheetView tabSelected="1" zoomScalePageLayoutView="0" workbookViewId="0" topLeftCell="A1">
      <selection activeCell="A1" sqref="A1"/>
    </sheetView>
  </sheetViews>
  <sheetFormatPr defaultColWidth="9.140625" defaultRowHeight="15"/>
  <cols>
    <col min="2" max="2" width="130.140625" style="0" customWidth="1"/>
    <col min="5" max="5" width="94.7109375" style="0" customWidth="1"/>
  </cols>
  <sheetData>
    <row r="1" ht="18">
      <c r="B1" s="51" t="s">
        <v>176</v>
      </c>
    </row>
    <row r="2" spans="2:5" ht="23.25" customHeight="1" thickBot="1">
      <c r="B2" s="50" t="s">
        <v>178</v>
      </c>
      <c r="E2" t="s">
        <v>191</v>
      </c>
    </row>
    <row r="3" spans="2:15" ht="31.5" customHeight="1">
      <c r="B3" s="46" t="s">
        <v>170</v>
      </c>
      <c r="E3" s="128" t="s">
        <v>179</v>
      </c>
      <c r="F3" s="129"/>
      <c r="G3" s="129"/>
      <c r="H3" s="129"/>
      <c r="I3" s="129"/>
      <c r="J3" s="129"/>
      <c r="K3" s="129"/>
      <c r="L3" s="129"/>
      <c r="M3" s="129"/>
      <c r="N3" s="129"/>
      <c r="O3" s="130"/>
    </row>
    <row r="4" spans="2:15" ht="29.25" customHeight="1">
      <c r="B4" s="47" t="s">
        <v>171</v>
      </c>
      <c r="E4" s="125" t="s">
        <v>180</v>
      </c>
      <c r="F4" s="126"/>
      <c r="G4" s="126"/>
      <c r="H4" s="126"/>
      <c r="I4" s="126"/>
      <c r="J4" s="126"/>
      <c r="K4" s="126"/>
      <c r="L4" s="126"/>
      <c r="M4" s="126"/>
      <c r="N4" s="126"/>
      <c r="O4" s="127"/>
    </row>
    <row r="5" spans="2:15" ht="29.25" customHeight="1">
      <c r="B5" s="48" t="s">
        <v>39</v>
      </c>
      <c r="E5" s="125" t="s">
        <v>181</v>
      </c>
      <c r="F5" s="126"/>
      <c r="G5" s="126"/>
      <c r="H5" s="126"/>
      <c r="I5" s="126"/>
      <c r="J5" s="126"/>
      <c r="K5" s="126"/>
      <c r="L5" s="126"/>
      <c r="M5" s="126"/>
      <c r="N5" s="126"/>
      <c r="O5" s="127"/>
    </row>
    <row r="6" spans="2:15" ht="15">
      <c r="B6" s="43"/>
      <c r="E6" s="125" t="s">
        <v>182</v>
      </c>
      <c r="F6" s="126"/>
      <c r="G6" s="126"/>
      <c r="H6" s="126"/>
      <c r="I6" s="126"/>
      <c r="J6" s="126"/>
      <c r="K6" s="126"/>
      <c r="L6" s="126"/>
      <c r="M6" s="126"/>
      <c r="N6" s="126"/>
      <c r="O6" s="127"/>
    </row>
    <row r="7" spans="2:15" ht="15">
      <c r="B7" s="43" t="s">
        <v>41</v>
      </c>
      <c r="E7" s="125" t="s">
        <v>183</v>
      </c>
      <c r="F7" s="126"/>
      <c r="G7" s="126"/>
      <c r="H7" s="126"/>
      <c r="I7" s="126"/>
      <c r="J7" s="126"/>
      <c r="K7" s="126"/>
      <c r="L7" s="126"/>
      <c r="M7" s="126"/>
      <c r="N7" s="126"/>
      <c r="O7" s="127"/>
    </row>
    <row r="8" spans="2:15" ht="31.5" thickBot="1">
      <c r="B8" s="49" t="s">
        <v>40</v>
      </c>
      <c r="E8" s="125" t="s">
        <v>184</v>
      </c>
      <c r="F8" s="126"/>
      <c r="G8" s="126"/>
      <c r="H8" s="126"/>
      <c r="I8" s="126"/>
      <c r="J8" s="126"/>
      <c r="K8" s="126"/>
      <c r="L8" s="126"/>
      <c r="M8" s="126"/>
      <c r="N8" s="126"/>
      <c r="O8" s="127"/>
    </row>
    <row r="9" spans="2:15" ht="30" customHeight="1" thickBot="1">
      <c r="B9" s="52" t="s">
        <v>169</v>
      </c>
      <c r="E9" s="125" t="s">
        <v>185</v>
      </c>
      <c r="F9" s="126"/>
      <c r="G9" s="126"/>
      <c r="H9" s="126"/>
      <c r="I9" s="126"/>
      <c r="J9" s="126"/>
      <c r="K9" s="126"/>
      <c r="L9" s="126"/>
      <c r="M9" s="126"/>
      <c r="N9" s="126"/>
      <c r="O9" s="127"/>
    </row>
    <row r="10" spans="2:15" ht="30.75">
      <c r="B10" s="45" t="s">
        <v>172</v>
      </c>
      <c r="E10" s="125" t="s">
        <v>186</v>
      </c>
      <c r="F10" s="126"/>
      <c r="G10" s="126"/>
      <c r="H10" s="126"/>
      <c r="I10" s="126"/>
      <c r="J10" s="126"/>
      <c r="K10" s="126"/>
      <c r="L10" s="126"/>
      <c r="M10" s="126"/>
      <c r="N10" s="126"/>
      <c r="O10" s="127"/>
    </row>
    <row r="11" spans="2:15" ht="30.75">
      <c r="B11" s="45" t="s">
        <v>173</v>
      </c>
      <c r="E11" s="125" t="s">
        <v>187</v>
      </c>
      <c r="F11" s="126"/>
      <c r="G11" s="126"/>
      <c r="H11" s="126"/>
      <c r="I11" s="126"/>
      <c r="J11" s="126"/>
      <c r="K11" s="126"/>
      <c r="L11" s="126"/>
      <c r="M11" s="126"/>
      <c r="N11" s="126"/>
      <c r="O11" s="127"/>
    </row>
    <row r="12" spans="2:15" ht="30.75">
      <c r="B12" s="45" t="s">
        <v>174</v>
      </c>
      <c r="E12" s="108" t="s">
        <v>188</v>
      </c>
      <c r="F12" s="109"/>
      <c r="G12" s="109"/>
      <c r="H12" s="109"/>
      <c r="I12" s="109"/>
      <c r="J12" s="109"/>
      <c r="K12" s="109"/>
      <c r="L12" s="109"/>
      <c r="M12" s="109"/>
      <c r="N12" s="109"/>
      <c r="O12" s="110"/>
    </row>
    <row r="13" spans="2:15" ht="27.75" customHeight="1" thickBot="1">
      <c r="B13" s="44"/>
      <c r="E13" s="125" t="s">
        <v>189</v>
      </c>
      <c r="F13" s="126"/>
      <c r="G13" s="126"/>
      <c r="H13" s="126"/>
      <c r="I13" s="126"/>
      <c r="J13" s="126"/>
      <c r="K13" s="126"/>
      <c r="L13" s="126"/>
      <c r="M13" s="126"/>
      <c r="N13" s="126"/>
      <c r="O13" s="127"/>
    </row>
    <row r="14" spans="2:15" ht="33" customHeight="1" thickBot="1">
      <c r="B14" s="102" t="s">
        <v>159</v>
      </c>
      <c r="E14" s="131" t="s">
        <v>190</v>
      </c>
      <c r="F14" s="132"/>
      <c r="G14" s="132"/>
      <c r="H14" s="132"/>
      <c r="I14" s="132"/>
      <c r="J14" s="132"/>
      <c r="K14" s="132"/>
      <c r="L14" s="132"/>
      <c r="M14" s="132"/>
      <c r="N14" s="132"/>
      <c r="O14" s="133"/>
    </row>
    <row r="15" ht="15" thickBot="1">
      <c r="B15" s="107" t="s">
        <v>160</v>
      </c>
    </row>
    <row r="16" ht="30.75">
      <c r="B16" s="103" t="s">
        <v>161</v>
      </c>
    </row>
    <row r="17" ht="30.75">
      <c r="B17" s="104" t="s">
        <v>162</v>
      </c>
    </row>
    <row r="18" ht="42.75">
      <c r="B18" s="105" t="s">
        <v>168</v>
      </c>
    </row>
    <row r="19" ht="28.5">
      <c r="B19" s="105" t="s">
        <v>163</v>
      </c>
    </row>
    <row r="20" ht="28.5">
      <c r="B20" s="105" t="s">
        <v>164</v>
      </c>
    </row>
    <row r="21" ht="42.75">
      <c r="B21" s="105" t="s">
        <v>167</v>
      </c>
    </row>
    <row r="22" ht="14.25">
      <c r="B22" s="105" t="s">
        <v>166</v>
      </c>
    </row>
    <row r="23" ht="29.25" thickBot="1">
      <c r="B23" s="106" t="s">
        <v>175</v>
      </c>
    </row>
  </sheetData>
  <sheetProtection/>
  <mergeCells count="11">
    <mergeCell ref="E10:O10"/>
    <mergeCell ref="E11:O11"/>
    <mergeCell ref="E3:O3"/>
    <mergeCell ref="E4:O4"/>
    <mergeCell ref="E14:O14"/>
    <mergeCell ref="E13:O13"/>
    <mergeCell ref="E6:O6"/>
    <mergeCell ref="E5:O5"/>
    <mergeCell ref="E7:O7"/>
    <mergeCell ref="E8:O8"/>
    <mergeCell ref="E9:O9"/>
  </mergeCells>
  <hyperlinks>
    <hyperlink ref="B5" r:id="rId1" display="http://nft.nefsc.noaa.gov/"/>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sheetPr>
    <tabColor theme="8" tint="-0.24997000396251678"/>
  </sheetPr>
  <dimension ref="A1:E132"/>
  <sheetViews>
    <sheetView zoomScale="110" zoomScaleNormal="110" zoomScalePageLayoutView="0" workbookViewId="0" topLeftCell="A1">
      <selection activeCell="A2" sqref="A2"/>
    </sheetView>
  </sheetViews>
  <sheetFormatPr defaultColWidth="9.140625" defaultRowHeight="15" customHeight="1"/>
  <cols>
    <col min="1" max="1" width="20.7109375" style="15" customWidth="1"/>
    <col min="2" max="2" width="50.140625" style="19" bestFit="1" customWidth="1"/>
    <col min="3" max="3" width="43.00390625" style="19" customWidth="1"/>
    <col min="4" max="4" width="28.8515625" style="17" customWidth="1"/>
    <col min="5" max="5" width="18.7109375" style="17" customWidth="1"/>
    <col min="6" max="16384" width="9.140625" style="17" customWidth="1"/>
  </cols>
  <sheetData>
    <row r="1" spans="1:5" s="14" customFormat="1" ht="30" customHeight="1">
      <c r="A1" s="100" t="s">
        <v>156</v>
      </c>
      <c r="B1" s="101" t="s">
        <v>157</v>
      </c>
      <c r="C1" s="101" t="s">
        <v>158</v>
      </c>
      <c r="D1" s="14" t="s">
        <v>192</v>
      </c>
      <c r="E1" s="14" t="s">
        <v>193</v>
      </c>
    </row>
    <row r="2" spans="1:5" ht="15" customHeight="1">
      <c r="A2" s="15">
        <v>1</v>
      </c>
      <c r="B2" s="120"/>
      <c r="C2" s="120"/>
      <c r="D2" s="123"/>
      <c r="E2" s="122"/>
    </row>
    <row r="3" spans="1:5" ht="15" customHeight="1">
      <c r="A3" s="15">
        <v>2</v>
      </c>
      <c r="B3" s="120"/>
      <c r="C3" s="120"/>
      <c r="D3" s="123"/>
      <c r="E3" s="122"/>
    </row>
    <row r="4" spans="1:5" ht="15" customHeight="1">
      <c r="A4" s="15">
        <v>3</v>
      </c>
      <c r="B4" s="122"/>
      <c r="C4" s="122"/>
      <c r="D4" s="123"/>
      <c r="E4" s="122"/>
    </row>
    <row r="5" spans="1:5" ht="15" customHeight="1">
      <c r="A5" s="15">
        <v>4</v>
      </c>
      <c r="B5" s="120"/>
      <c r="C5" s="120"/>
      <c r="D5" s="123"/>
      <c r="E5" s="122"/>
    </row>
    <row r="6" spans="1:5" ht="15" customHeight="1">
      <c r="A6" s="15">
        <v>5</v>
      </c>
      <c r="B6" s="120"/>
      <c r="C6" s="120"/>
      <c r="D6" s="123"/>
      <c r="E6" s="122"/>
    </row>
    <row r="7" spans="1:5" ht="15" customHeight="1">
      <c r="A7" s="15">
        <v>6</v>
      </c>
      <c r="B7" s="120"/>
      <c r="C7" s="120"/>
      <c r="D7" s="123"/>
      <c r="E7" s="122"/>
    </row>
    <row r="8" spans="1:5" ht="15" customHeight="1">
      <c r="A8" s="15">
        <v>7</v>
      </c>
      <c r="B8" s="120"/>
      <c r="C8" s="120"/>
      <c r="D8" s="123"/>
      <c r="E8" s="122"/>
    </row>
    <row r="9" spans="1:5" ht="15" customHeight="1">
      <c r="A9" s="15">
        <v>8</v>
      </c>
      <c r="B9" s="120"/>
      <c r="C9" s="120"/>
      <c r="D9" s="124"/>
      <c r="E9" s="122"/>
    </row>
    <row r="10" spans="1:5" ht="15" customHeight="1">
      <c r="A10" s="15">
        <v>9</v>
      </c>
      <c r="B10" s="120"/>
      <c r="C10" s="120"/>
      <c r="D10" s="123"/>
      <c r="E10" s="122"/>
    </row>
    <row r="11" spans="1:5" ht="15" customHeight="1">
      <c r="A11" s="15">
        <v>10</v>
      </c>
      <c r="B11" s="120"/>
      <c r="C11" s="120"/>
      <c r="D11" s="123"/>
      <c r="E11" s="122"/>
    </row>
    <row r="12" spans="1:5" ht="15" customHeight="1">
      <c r="A12" s="15">
        <v>11</v>
      </c>
      <c r="B12" s="120"/>
      <c r="C12" s="120"/>
      <c r="D12" s="123"/>
      <c r="E12" s="122"/>
    </row>
    <row r="13" spans="1:5" ht="15" customHeight="1">
      <c r="A13" s="15">
        <v>12</v>
      </c>
      <c r="B13" s="120"/>
      <c r="C13" s="120"/>
      <c r="D13" s="123"/>
      <c r="E13" s="122"/>
    </row>
    <row r="14" spans="1:5" ht="15" customHeight="1">
      <c r="A14" s="15">
        <v>13</v>
      </c>
      <c r="B14" s="120"/>
      <c r="C14" s="120"/>
      <c r="D14" s="123"/>
      <c r="E14" s="122"/>
    </row>
    <row r="15" spans="1:5" ht="15" customHeight="1">
      <c r="A15" s="15">
        <v>14</v>
      </c>
      <c r="B15" s="120"/>
      <c r="C15" s="120"/>
      <c r="D15" s="123"/>
      <c r="E15" s="122"/>
    </row>
    <row r="16" spans="1:5" ht="15" customHeight="1">
      <c r="A16" s="15">
        <v>15</v>
      </c>
      <c r="B16" s="120"/>
      <c r="C16" s="120"/>
      <c r="D16" s="123"/>
      <c r="E16" s="122"/>
    </row>
    <row r="17" spans="1:5" ht="15" customHeight="1">
      <c r="A17" s="15">
        <v>16</v>
      </c>
      <c r="B17" s="120"/>
      <c r="C17" s="120"/>
      <c r="D17" s="123"/>
      <c r="E17" s="122"/>
    </row>
    <row r="18" spans="1:5" ht="15" customHeight="1">
      <c r="A18" s="15">
        <v>17</v>
      </c>
      <c r="B18" s="120"/>
      <c r="C18" s="120"/>
      <c r="D18" s="123"/>
      <c r="E18" s="122"/>
    </row>
    <row r="19" spans="1:5" ht="15" customHeight="1">
      <c r="A19" s="15">
        <v>18</v>
      </c>
      <c r="B19" s="120"/>
      <c r="C19" s="120"/>
      <c r="D19" s="123"/>
      <c r="E19" s="122"/>
    </row>
    <row r="20" spans="1:5" ht="15" customHeight="1">
      <c r="A20" s="15">
        <v>19</v>
      </c>
      <c r="B20" s="120"/>
      <c r="C20" s="120"/>
      <c r="D20" s="123"/>
      <c r="E20" s="122"/>
    </row>
    <row r="21" spans="1:5" ht="15" customHeight="1">
      <c r="A21" s="15">
        <v>20</v>
      </c>
      <c r="B21" s="120"/>
      <c r="C21" s="120"/>
      <c r="D21" s="123"/>
      <c r="E21" s="122"/>
    </row>
    <row r="22" spans="1:5" ht="15" customHeight="1">
      <c r="A22" s="15">
        <v>21</v>
      </c>
      <c r="B22" s="120"/>
      <c r="C22" s="120"/>
      <c r="D22" s="123"/>
      <c r="E22" s="122"/>
    </row>
    <row r="23" spans="1:5" ht="15" customHeight="1">
      <c r="A23" s="15">
        <v>22</v>
      </c>
      <c r="B23" s="120"/>
      <c r="C23" s="120"/>
      <c r="D23" s="123"/>
      <c r="E23" s="122"/>
    </row>
    <row r="24" spans="1:5" ht="15" customHeight="1">
      <c r="A24" s="15">
        <v>23</v>
      </c>
      <c r="B24" s="120"/>
      <c r="C24" s="120"/>
      <c r="D24" s="123"/>
      <c r="E24" s="122"/>
    </row>
    <row r="25" spans="1:5" s="18" customFormat="1" ht="15" customHeight="1">
      <c r="A25" s="15">
        <v>24</v>
      </c>
      <c r="B25" s="120"/>
      <c r="C25" s="120"/>
      <c r="D25" s="123"/>
      <c r="E25" s="122"/>
    </row>
    <row r="26" spans="1:5" ht="15" customHeight="1">
      <c r="A26" s="15">
        <v>25</v>
      </c>
      <c r="B26" s="120"/>
      <c r="C26" s="120"/>
      <c r="D26" s="123"/>
      <c r="E26" s="122"/>
    </row>
    <row r="27" spans="1:5" ht="15" customHeight="1">
      <c r="A27" s="15">
        <v>26</v>
      </c>
      <c r="B27" s="120"/>
      <c r="C27" s="120"/>
      <c r="D27" s="123"/>
      <c r="E27" s="122"/>
    </row>
    <row r="28" spans="1:5" ht="15" customHeight="1">
      <c r="A28" s="15">
        <v>27</v>
      </c>
      <c r="B28" s="120"/>
      <c r="C28" s="120"/>
      <c r="D28" s="123"/>
      <c r="E28" s="122"/>
    </row>
    <row r="29" spans="1:5" ht="15" customHeight="1">
      <c r="A29" s="15">
        <v>28</v>
      </c>
      <c r="B29" s="120"/>
      <c r="C29" s="120"/>
      <c r="D29" s="123"/>
      <c r="E29" s="122"/>
    </row>
    <row r="30" spans="1:5" ht="15" customHeight="1">
      <c r="A30" s="15">
        <v>29</v>
      </c>
      <c r="B30" s="120"/>
      <c r="C30" s="120"/>
      <c r="D30" s="123"/>
      <c r="E30" s="122"/>
    </row>
    <row r="31" spans="1:5" ht="15" customHeight="1">
      <c r="A31" s="15">
        <v>30</v>
      </c>
      <c r="B31" s="120"/>
      <c r="C31" s="120"/>
      <c r="D31" s="123"/>
      <c r="E31" s="122"/>
    </row>
    <row r="32" spans="1:5" ht="15" customHeight="1">
      <c r="A32" s="15">
        <v>31</v>
      </c>
      <c r="B32" s="120"/>
      <c r="C32" s="120"/>
      <c r="D32" s="123"/>
      <c r="E32" s="122"/>
    </row>
    <row r="33" spans="1:5" ht="15" customHeight="1">
      <c r="A33" s="15">
        <v>32</v>
      </c>
      <c r="B33" s="121"/>
      <c r="C33" s="121"/>
      <c r="D33" s="123"/>
      <c r="E33" s="122"/>
    </row>
    <row r="34" spans="1:5" ht="15" customHeight="1">
      <c r="A34" s="15">
        <v>33</v>
      </c>
      <c r="B34" s="121"/>
      <c r="C34" s="121"/>
      <c r="D34" s="123"/>
      <c r="E34" s="122"/>
    </row>
    <row r="35" spans="1:5" ht="15" customHeight="1">
      <c r="A35" s="15">
        <v>34</v>
      </c>
      <c r="B35" s="121"/>
      <c r="C35" s="121"/>
      <c r="D35" s="123"/>
      <c r="E35" s="122"/>
    </row>
    <row r="36" spans="1:5" ht="15" customHeight="1">
      <c r="A36" s="15">
        <v>35</v>
      </c>
      <c r="B36" s="121"/>
      <c r="C36" s="120"/>
      <c r="D36" s="123"/>
      <c r="E36" s="122"/>
    </row>
    <row r="37" spans="1:5" ht="15" customHeight="1">
      <c r="A37" s="15">
        <v>36</v>
      </c>
      <c r="B37" s="120"/>
      <c r="C37" s="120"/>
      <c r="D37" s="123"/>
      <c r="E37" s="122"/>
    </row>
    <row r="38" spans="1:5" ht="15" customHeight="1">
      <c r="A38" s="15">
        <v>37</v>
      </c>
      <c r="B38" s="120"/>
      <c r="C38" s="120"/>
      <c r="D38" s="123"/>
      <c r="E38" s="122"/>
    </row>
    <row r="39" spans="1:5" ht="15" customHeight="1">
      <c r="A39" s="15">
        <v>38</v>
      </c>
      <c r="B39" s="120"/>
      <c r="C39" s="120"/>
      <c r="D39" s="123"/>
      <c r="E39" s="122"/>
    </row>
    <row r="40" spans="1:5" ht="15" customHeight="1">
      <c r="A40" s="15">
        <v>39</v>
      </c>
      <c r="B40" s="120"/>
      <c r="C40" s="120"/>
      <c r="D40" s="123"/>
      <c r="E40" s="122"/>
    </row>
    <row r="41" spans="1:5" ht="15" customHeight="1">
      <c r="A41" s="15">
        <v>40</v>
      </c>
      <c r="B41" s="120"/>
      <c r="C41" s="120"/>
      <c r="D41" s="123"/>
      <c r="E41" s="122"/>
    </row>
    <row r="42" spans="1:5" ht="15" customHeight="1">
      <c r="A42" s="15">
        <v>41</v>
      </c>
      <c r="B42" s="120"/>
      <c r="C42" s="120"/>
      <c r="D42" s="123"/>
      <c r="E42" s="122"/>
    </row>
    <row r="43" spans="1:5" ht="15" customHeight="1">
      <c r="A43" s="15">
        <v>42</v>
      </c>
      <c r="B43" s="120"/>
      <c r="C43" s="120"/>
      <c r="D43" s="123"/>
      <c r="E43" s="122"/>
    </row>
    <row r="44" spans="1:5" ht="15" customHeight="1">
      <c r="A44" s="15">
        <v>43</v>
      </c>
      <c r="B44" s="120"/>
      <c r="C44" s="120"/>
      <c r="D44" s="123"/>
      <c r="E44" s="122"/>
    </row>
    <row r="45" spans="1:5" ht="15" customHeight="1">
      <c r="A45" s="15">
        <v>44</v>
      </c>
      <c r="B45" s="120"/>
      <c r="C45" s="120"/>
      <c r="D45" s="123"/>
      <c r="E45" s="122"/>
    </row>
    <row r="46" spans="1:5" ht="15" customHeight="1">
      <c r="A46" s="15">
        <v>45</v>
      </c>
      <c r="B46" s="120"/>
      <c r="C46" s="120"/>
      <c r="D46" s="123"/>
      <c r="E46" s="122"/>
    </row>
    <row r="47" spans="1:5" ht="15" customHeight="1">
      <c r="A47" s="15">
        <v>46</v>
      </c>
      <c r="B47" s="120"/>
      <c r="C47" s="120"/>
      <c r="D47" s="123"/>
      <c r="E47" s="122"/>
    </row>
    <row r="48" spans="1:5" ht="15" customHeight="1">
      <c r="A48" s="15">
        <v>47</v>
      </c>
      <c r="B48" s="120"/>
      <c r="C48" s="120"/>
      <c r="D48" s="123"/>
      <c r="E48" s="122"/>
    </row>
    <row r="49" spans="1:5" ht="15" customHeight="1">
      <c r="A49" s="15">
        <v>48</v>
      </c>
      <c r="B49" s="120"/>
      <c r="C49" s="120"/>
      <c r="D49" s="123"/>
      <c r="E49" s="122"/>
    </row>
    <row r="50" spans="1:5" ht="15" customHeight="1">
      <c r="A50" s="15">
        <v>49</v>
      </c>
      <c r="B50" s="120"/>
      <c r="C50" s="120"/>
      <c r="D50" s="123"/>
      <c r="E50" s="122"/>
    </row>
    <row r="51" spans="1:5" ht="15" customHeight="1">
      <c r="A51" s="15">
        <v>50</v>
      </c>
      <c r="B51" s="120"/>
      <c r="C51" s="120"/>
      <c r="D51" s="123"/>
      <c r="E51" s="122"/>
    </row>
    <row r="52" spans="1:5" ht="15" customHeight="1">
      <c r="A52" s="15">
        <v>51</v>
      </c>
      <c r="B52" s="16"/>
      <c r="C52" s="16"/>
      <c r="D52" s="18"/>
      <c r="E52" s="18"/>
    </row>
    <row r="53" spans="1:5" ht="15" customHeight="1">
      <c r="A53" s="15">
        <v>52</v>
      </c>
      <c r="B53" s="16"/>
      <c r="C53" s="16"/>
      <c r="D53" s="18"/>
      <c r="E53" s="18"/>
    </row>
    <row r="54" spans="2:5" ht="15" customHeight="1">
      <c r="B54" s="16"/>
      <c r="C54" s="16"/>
      <c r="D54" s="18"/>
      <c r="E54" s="18"/>
    </row>
    <row r="55" spans="2:3" ht="15" customHeight="1">
      <c r="B55" s="16"/>
      <c r="C55" s="16"/>
    </row>
    <row r="56" spans="2:3" ht="15" customHeight="1">
      <c r="B56" s="16"/>
      <c r="C56" s="16"/>
    </row>
    <row r="57" spans="2:3" ht="15" customHeight="1">
      <c r="B57" s="16"/>
      <c r="C57" s="16"/>
    </row>
    <row r="58" spans="2:3" ht="15" customHeight="1">
      <c r="B58" s="16"/>
      <c r="C58" s="16"/>
    </row>
    <row r="59" spans="2:3" ht="15" customHeight="1">
      <c r="B59" s="16"/>
      <c r="C59" s="16"/>
    </row>
    <row r="60" spans="2:3" ht="15" customHeight="1">
      <c r="B60" s="16"/>
      <c r="C60" s="16"/>
    </row>
    <row r="61" spans="2:3" ht="15" customHeight="1">
      <c r="B61" s="16"/>
      <c r="C61" s="16"/>
    </row>
    <row r="62" spans="2:3" ht="15" customHeight="1">
      <c r="B62" s="16"/>
      <c r="C62" s="16"/>
    </row>
    <row r="63" spans="2:3" ht="15" customHeight="1">
      <c r="B63" s="16"/>
      <c r="C63" s="16"/>
    </row>
    <row r="64" spans="2:3" ht="15" customHeight="1">
      <c r="B64" s="16"/>
      <c r="C64" s="16"/>
    </row>
    <row r="65" spans="2:3" ht="15" customHeight="1">
      <c r="B65" s="16"/>
      <c r="C65" s="16"/>
    </row>
    <row r="66" spans="2:3" ht="15" customHeight="1">
      <c r="B66" s="16"/>
      <c r="C66" s="16"/>
    </row>
    <row r="67" spans="2:3" ht="15" customHeight="1">
      <c r="B67" s="16"/>
      <c r="C67" s="16"/>
    </row>
    <row r="68" spans="2:3" ht="15" customHeight="1">
      <c r="B68" s="16"/>
      <c r="C68" s="16"/>
    </row>
    <row r="69" spans="2:3" ht="15" customHeight="1">
      <c r="B69" s="16"/>
      <c r="C69" s="16"/>
    </row>
    <row r="70" spans="2:3" ht="15" customHeight="1">
      <c r="B70" s="16"/>
      <c r="C70" s="16"/>
    </row>
    <row r="71" spans="2:3" ht="15" customHeight="1">
      <c r="B71" s="16"/>
      <c r="C71" s="16"/>
    </row>
    <row r="72" spans="2:3" ht="15" customHeight="1">
      <c r="B72" s="16"/>
      <c r="C72" s="16"/>
    </row>
    <row r="73" spans="2:3" ht="15" customHeight="1">
      <c r="B73" s="16"/>
      <c r="C73" s="16"/>
    </row>
    <row r="74" spans="2:3" ht="15" customHeight="1">
      <c r="B74" s="16"/>
      <c r="C74" s="16"/>
    </row>
    <row r="75" spans="2:3" ht="15" customHeight="1">
      <c r="B75" s="16"/>
      <c r="C75" s="16"/>
    </row>
    <row r="76" spans="2:3" ht="15" customHeight="1">
      <c r="B76" s="16"/>
      <c r="C76" s="16"/>
    </row>
    <row r="77" spans="2:3" ht="15" customHeight="1">
      <c r="B77" s="16"/>
      <c r="C77" s="16"/>
    </row>
    <row r="78" spans="2:3" ht="15" customHeight="1">
      <c r="B78" s="16"/>
      <c r="C78" s="16"/>
    </row>
    <row r="79" spans="2:3" ht="15" customHeight="1">
      <c r="B79" s="16"/>
      <c r="C79" s="16"/>
    </row>
    <row r="80" spans="2:3" ht="15" customHeight="1">
      <c r="B80" s="16"/>
      <c r="C80" s="16"/>
    </row>
    <row r="81" spans="2:3" ht="15" customHeight="1">
      <c r="B81" s="16"/>
      <c r="C81" s="16"/>
    </row>
    <row r="82" spans="2:3" ht="15" customHeight="1">
      <c r="B82" s="16"/>
      <c r="C82" s="16"/>
    </row>
    <row r="83" spans="2:3" ht="15" customHeight="1">
      <c r="B83" s="16"/>
      <c r="C83" s="16"/>
    </row>
    <row r="84" spans="2:3" ht="15" customHeight="1">
      <c r="B84" s="16"/>
      <c r="C84" s="16"/>
    </row>
    <row r="85" spans="2:3" ht="15" customHeight="1">
      <c r="B85" s="16"/>
      <c r="C85" s="16"/>
    </row>
    <row r="86" spans="2:3" ht="15" customHeight="1">
      <c r="B86" s="16"/>
      <c r="C86" s="16"/>
    </row>
    <row r="87" spans="2:3" ht="15" customHeight="1">
      <c r="B87" s="16"/>
      <c r="C87" s="16"/>
    </row>
    <row r="88" spans="2:3" ht="15" customHeight="1">
      <c r="B88" s="16"/>
      <c r="C88" s="16"/>
    </row>
    <row r="89" spans="2:3" ht="15" customHeight="1">
      <c r="B89" s="16"/>
      <c r="C89" s="16"/>
    </row>
    <row r="90" spans="2:3" ht="15" customHeight="1">
      <c r="B90" s="16"/>
      <c r="C90" s="16"/>
    </row>
    <row r="91" spans="2:3" ht="15" customHeight="1">
      <c r="B91" s="16"/>
      <c r="C91" s="16"/>
    </row>
    <row r="92" spans="2:3" ht="15" customHeight="1">
      <c r="B92" s="16"/>
      <c r="C92" s="16"/>
    </row>
    <row r="93" spans="2:3" ht="15" customHeight="1">
      <c r="B93" s="16"/>
      <c r="C93" s="16"/>
    </row>
    <row r="94" spans="2:3" ht="15" customHeight="1">
      <c r="B94" s="16"/>
      <c r="C94" s="16"/>
    </row>
    <row r="95" spans="2:3" ht="15" customHeight="1">
      <c r="B95" s="16"/>
      <c r="C95" s="16"/>
    </row>
    <row r="96" spans="2:3" ht="15" customHeight="1">
      <c r="B96" s="16"/>
      <c r="C96" s="16"/>
    </row>
    <row r="97" spans="2:3" ht="15" customHeight="1">
      <c r="B97" s="16"/>
      <c r="C97" s="16"/>
    </row>
    <row r="98" spans="2:3" ht="15" customHeight="1">
      <c r="B98" s="16"/>
      <c r="C98" s="16"/>
    </row>
    <row r="99" spans="2:3" ht="15" customHeight="1">
      <c r="B99" s="16"/>
      <c r="C99" s="16"/>
    </row>
    <row r="100" spans="2:3" ht="15" customHeight="1">
      <c r="B100" s="16"/>
      <c r="C100" s="16"/>
    </row>
    <row r="101" spans="2:3" ht="15" customHeight="1">
      <c r="B101" s="16"/>
      <c r="C101" s="16"/>
    </row>
    <row r="102" spans="2:3" ht="15" customHeight="1">
      <c r="B102" s="16"/>
      <c r="C102" s="16"/>
    </row>
    <row r="103" spans="2:3" ht="15" customHeight="1">
      <c r="B103" s="16"/>
      <c r="C103" s="16"/>
    </row>
    <row r="104" spans="2:3" ht="15" customHeight="1">
      <c r="B104" s="16"/>
      <c r="C104" s="16"/>
    </row>
    <row r="105" spans="2:3" ht="15" customHeight="1">
      <c r="B105" s="16"/>
      <c r="C105" s="16"/>
    </row>
    <row r="106" spans="2:3" ht="15" customHeight="1">
      <c r="B106" s="16"/>
      <c r="C106" s="16"/>
    </row>
    <row r="107" spans="2:3" ht="15" customHeight="1">
      <c r="B107" s="16"/>
      <c r="C107" s="16"/>
    </row>
    <row r="108" spans="2:3" ht="15" customHeight="1">
      <c r="B108" s="16"/>
      <c r="C108" s="16"/>
    </row>
    <row r="109" spans="2:3" ht="15" customHeight="1">
      <c r="B109" s="16"/>
      <c r="C109" s="16"/>
    </row>
    <row r="110" spans="2:3" ht="15" customHeight="1">
      <c r="B110" s="16"/>
      <c r="C110" s="16"/>
    </row>
    <row r="111" spans="2:3" ht="15" customHeight="1">
      <c r="B111" s="16"/>
      <c r="C111" s="16"/>
    </row>
    <row r="112" spans="2:3" ht="15" customHeight="1">
      <c r="B112" s="16"/>
      <c r="C112" s="16"/>
    </row>
    <row r="113" spans="2:3" ht="15" customHeight="1">
      <c r="B113" s="16"/>
      <c r="C113" s="16"/>
    </row>
    <row r="114" spans="2:3" ht="15" customHeight="1">
      <c r="B114" s="16"/>
      <c r="C114" s="16"/>
    </row>
    <row r="115" spans="2:3" ht="15" customHeight="1">
      <c r="B115" s="16"/>
      <c r="C115" s="16"/>
    </row>
    <row r="116" spans="2:3" ht="15" customHeight="1">
      <c r="B116" s="16"/>
      <c r="C116" s="16"/>
    </row>
    <row r="117" spans="2:3" ht="15" customHeight="1">
      <c r="B117" s="16"/>
      <c r="C117" s="16"/>
    </row>
    <row r="118" spans="2:3" ht="15" customHeight="1">
      <c r="B118" s="16"/>
      <c r="C118" s="16"/>
    </row>
    <row r="119" spans="2:3" ht="15" customHeight="1">
      <c r="B119" s="16"/>
      <c r="C119" s="16"/>
    </row>
    <row r="120" spans="2:3" ht="15" customHeight="1">
      <c r="B120" s="16"/>
      <c r="C120" s="16"/>
    </row>
    <row r="121" spans="2:3" ht="15" customHeight="1">
      <c r="B121" s="16"/>
      <c r="C121" s="16"/>
    </row>
    <row r="122" spans="2:3" ht="15" customHeight="1">
      <c r="B122" s="16"/>
      <c r="C122" s="16"/>
    </row>
    <row r="123" spans="2:3" ht="15" customHeight="1">
      <c r="B123" s="16"/>
      <c r="C123" s="16"/>
    </row>
    <row r="124" spans="2:3" ht="15" customHeight="1">
      <c r="B124" s="16"/>
      <c r="C124" s="16"/>
    </row>
    <row r="125" spans="2:3" ht="15" customHeight="1">
      <c r="B125" s="16"/>
      <c r="C125" s="16"/>
    </row>
    <row r="126" spans="2:3" ht="15" customHeight="1">
      <c r="B126" s="16"/>
      <c r="C126" s="16"/>
    </row>
    <row r="127" spans="2:3" ht="15" customHeight="1">
      <c r="B127" s="16"/>
      <c r="C127" s="16"/>
    </row>
    <row r="128" spans="2:3" ht="15" customHeight="1">
      <c r="B128" s="16"/>
      <c r="C128" s="16"/>
    </row>
    <row r="129" spans="2:3" ht="15" customHeight="1">
      <c r="B129" s="16"/>
      <c r="C129" s="16"/>
    </row>
    <row r="130" spans="2:3" ht="15" customHeight="1">
      <c r="B130" s="16"/>
      <c r="C130" s="16"/>
    </row>
    <row r="131" spans="2:3" ht="15" customHeight="1">
      <c r="B131" s="16"/>
      <c r="C131" s="16"/>
    </row>
    <row r="132" spans="2:3" ht="15" customHeight="1">
      <c r="B132" s="16"/>
      <c r="C132" s="16"/>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FFFF00"/>
  </sheetPr>
  <dimension ref="A1:IP44"/>
  <sheetViews>
    <sheetView zoomScale="90" zoomScaleNormal="90" zoomScalePageLayoutView="0" workbookViewId="0" topLeftCell="A1">
      <pane xSplit="5" ySplit="2" topLeftCell="EG24" activePane="bottomRight" state="frozen"/>
      <selection pane="topLeft" activeCell="A1" sqref="A1"/>
      <selection pane="topRight" activeCell="F1" sqref="F1"/>
      <selection pane="bottomLeft" activeCell="A3" sqref="A3"/>
      <selection pane="bottomRight" activeCell="EG30" sqref="EG30"/>
    </sheetView>
  </sheetViews>
  <sheetFormatPr defaultColWidth="11.28125" defaultRowHeight="15"/>
  <cols>
    <col min="1" max="1" width="23.57421875" style="74" customWidth="1"/>
    <col min="2" max="2" width="12.28125" style="78" customWidth="1"/>
    <col min="3" max="3" width="19.421875" style="74" customWidth="1"/>
    <col min="4" max="4" width="17.57421875" style="74" customWidth="1"/>
    <col min="5" max="5" width="19.28125" style="74" customWidth="1"/>
    <col min="6" max="6" width="19.28125" style="4" customWidth="1"/>
    <col min="7" max="7" width="11.28125" style="4" customWidth="1"/>
    <col min="8" max="8" width="14.57421875" style="4" customWidth="1"/>
    <col min="9" max="9" width="13.57421875" style="4" customWidth="1"/>
    <col min="10" max="10" width="17.140625" style="4" customWidth="1"/>
    <col min="11" max="11" width="11.28125" style="4" customWidth="1"/>
    <col min="12" max="12" width="18.421875" style="4" customWidth="1"/>
    <col min="13" max="14" width="11.28125" style="4" customWidth="1"/>
    <col min="15" max="15" width="15.7109375" style="4" customWidth="1"/>
    <col min="16" max="16" width="11.28125" style="4" customWidth="1"/>
    <col min="17" max="17" width="14.7109375" style="4" customWidth="1"/>
    <col min="18" max="18" width="11.28125" style="4" customWidth="1"/>
    <col min="19" max="19" width="27.140625" style="4" customWidth="1"/>
    <col min="20" max="25" width="11.28125" style="4" customWidth="1"/>
    <col min="26" max="26" width="14.00390625" style="4" customWidth="1"/>
    <col min="27" max="32" width="11.28125" style="4" customWidth="1"/>
    <col min="33" max="33" width="14.00390625" style="4" customWidth="1"/>
    <col min="34" max="39" width="11.28125" style="4" customWidth="1"/>
    <col min="40" max="40" width="14.00390625" style="4" customWidth="1"/>
    <col min="41" max="46" width="11.28125" style="4" customWidth="1"/>
    <col min="47" max="47" width="14.00390625" style="4" customWidth="1"/>
    <col min="48" max="53" width="11.28125" style="4" customWidth="1"/>
    <col min="54" max="54" width="14.00390625" style="4" customWidth="1"/>
    <col min="55" max="60" width="11.28125" style="4" customWidth="1"/>
    <col min="61" max="61" width="14.00390625" style="4" customWidth="1"/>
    <col min="62" max="67" width="11.28125" style="4" customWidth="1"/>
    <col min="68" max="68" width="14.00390625" style="4" customWidth="1"/>
    <col min="69" max="74" width="11.28125" style="4" customWidth="1"/>
    <col min="75" max="75" width="14.00390625" style="4" customWidth="1"/>
    <col min="76" max="81" width="11.28125" style="4" customWidth="1"/>
    <col min="82" max="82" width="14.00390625" style="4" customWidth="1"/>
    <col min="83" max="88" width="11.28125" style="4" customWidth="1"/>
    <col min="89" max="89" width="14.00390625" style="4" customWidth="1"/>
    <col min="90" max="95" width="11.28125" style="4" customWidth="1"/>
    <col min="96" max="96" width="14.00390625" style="4" customWidth="1"/>
    <col min="97" max="102" width="11.28125" style="4" customWidth="1"/>
    <col min="103" max="103" width="14.00390625" style="4" customWidth="1"/>
    <col min="104" max="109" width="11.28125" style="4" customWidth="1"/>
    <col min="110" max="110" width="14.00390625" style="4" customWidth="1"/>
    <col min="111" max="116" width="11.28125" style="4" customWidth="1"/>
    <col min="117" max="117" width="14.00390625" style="4" customWidth="1"/>
    <col min="118" max="123" width="11.28125" style="4" customWidth="1"/>
    <col min="124" max="124" width="14.00390625" style="4" customWidth="1"/>
    <col min="125" max="130" width="11.28125" style="4" customWidth="1"/>
    <col min="131" max="131" width="14.00390625" style="4" customWidth="1"/>
    <col min="132" max="137" width="11.28125" style="4" customWidth="1"/>
    <col min="138" max="138" width="14.00390625" style="4" customWidth="1"/>
    <col min="139" max="144" width="11.28125" style="4" customWidth="1"/>
    <col min="145" max="145" width="14.00390625" style="4" customWidth="1"/>
    <col min="146" max="151" width="11.28125" style="4" customWidth="1"/>
    <col min="152" max="152" width="14.00390625" style="4" customWidth="1"/>
    <col min="153" max="158" width="11.28125" style="4" customWidth="1"/>
    <col min="159" max="159" width="14.00390625" style="4" customWidth="1"/>
    <col min="160" max="165" width="11.28125" style="4" customWidth="1"/>
    <col min="166" max="166" width="14.00390625" style="4" customWidth="1"/>
    <col min="167" max="172" width="11.28125" style="4" customWidth="1"/>
    <col min="173" max="173" width="14.00390625" style="4" customWidth="1"/>
    <col min="174" max="179" width="11.28125" style="4" customWidth="1"/>
    <col min="180" max="180" width="14.00390625" style="4" customWidth="1"/>
    <col min="181" max="186" width="11.28125" style="4" customWidth="1"/>
    <col min="187" max="187" width="14.00390625" style="4" customWidth="1"/>
    <col min="188" max="193" width="11.28125" style="4" customWidth="1"/>
    <col min="194" max="194" width="14.00390625" style="4" customWidth="1"/>
    <col min="195" max="200" width="11.28125" style="4" customWidth="1"/>
    <col min="201" max="201" width="14.00390625" style="4" customWidth="1"/>
    <col min="202" max="207" width="11.28125" style="4" customWidth="1"/>
    <col min="208" max="208" width="14.00390625" style="4" customWidth="1"/>
    <col min="209" max="214" width="11.28125" style="4" customWidth="1"/>
    <col min="215" max="215" width="14.00390625" style="4" customWidth="1"/>
    <col min="216" max="221" width="11.28125" style="4" customWidth="1"/>
    <col min="222" max="222" width="14.00390625" style="4" customWidth="1"/>
    <col min="223" max="228" width="11.28125" style="4" customWidth="1"/>
    <col min="229" max="229" width="14.00390625" style="4" customWidth="1"/>
    <col min="230" max="235" width="11.28125" style="4" customWidth="1"/>
    <col min="236" max="236" width="14.00390625" style="4" customWidth="1"/>
    <col min="237" max="242" width="11.28125" style="4" customWidth="1"/>
    <col min="243" max="243" width="14.00390625" style="4" customWidth="1"/>
    <col min="244" max="249" width="11.28125" style="4" customWidth="1"/>
    <col min="250" max="250" width="14.00390625" style="4" customWidth="1"/>
    <col min="251" max="16384" width="11.28125" style="4" customWidth="1"/>
  </cols>
  <sheetData>
    <row r="1" spans="1:250" s="76" customFormat="1" ht="15" customHeight="1">
      <c r="A1" s="75"/>
      <c r="C1" s="75"/>
      <c r="D1" s="75"/>
      <c r="E1" s="75"/>
      <c r="F1" s="137" t="str">
        <f>CONCATENATE(Species!A2,Species!B2)</f>
        <v>1</v>
      </c>
      <c r="G1" s="138"/>
      <c r="H1" s="138"/>
      <c r="I1" s="138"/>
      <c r="J1" s="138"/>
      <c r="K1" s="138"/>
      <c r="L1" s="139"/>
      <c r="M1" s="134" t="str">
        <f>CONCATENATE(Species!A3,Species!B3)</f>
        <v>2</v>
      </c>
      <c r="N1" s="135"/>
      <c r="O1" s="135"/>
      <c r="P1" s="135"/>
      <c r="Q1" s="135"/>
      <c r="R1" s="135"/>
      <c r="S1" s="136"/>
      <c r="T1" s="137" t="str">
        <f>CONCATENATE(Species!A4,Species!B4)</f>
        <v>3</v>
      </c>
      <c r="U1" s="138"/>
      <c r="V1" s="138"/>
      <c r="W1" s="138"/>
      <c r="X1" s="138"/>
      <c r="Y1" s="138"/>
      <c r="Z1" s="139"/>
      <c r="AA1" s="134" t="str">
        <f>CONCATENATE(Species!A5,Species!B5)</f>
        <v>4</v>
      </c>
      <c r="AB1" s="135"/>
      <c r="AC1" s="135"/>
      <c r="AD1" s="135"/>
      <c r="AE1" s="135"/>
      <c r="AF1" s="135"/>
      <c r="AG1" s="136"/>
      <c r="AH1" s="137" t="str">
        <f>CONCATENATE(Species!A6,Species!B6)</f>
        <v>5</v>
      </c>
      <c r="AI1" s="138"/>
      <c r="AJ1" s="138"/>
      <c r="AK1" s="138"/>
      <c r="AL1" s="138"/>
      <c r="AM1" s="138"/>
      <c r="AN1" s="139"/>
      <c r="AO1" s="134" t="str">
        <f>CONCATENATE(Species!A7,Species!B7)</f>
        <v>6</v>
      </c>
      <c r="AP1" s="135"/>
      <c r="AQ1" s="135"/>
      <c r="AR1" s="135"/>
      <c r="AS1" s="135"/>
      <c r="AT1" s="135"/>
      <c r="AU1" s="136"/>
      <c r="AV1" s="137" t="str">
        <f>CONCATENATE(Species!A8,Species!B8)</f>
        <v>7</v>
      </c>
      <c r="AW1" s="138"/>
      <c r="AX1" s="138"/>
      <c r="AY1" s="138"/>
      <c r="AZ1" s="138"/>
      <c r="BA1" s="138"/>
      <c r="BB1" s="139"/>
      <c r="BC1" s="134" t="str">
        <f>CONCATENATE(Species!A9,Species!B9)</f>
        <v>8</v>
      </c>
      <c r="BD1" s="135"/>
      <c r="BE1" s="135"/>
      <c r="BF1" s="135"/>
      <c r="BG1" s="135"/>
      <c r="BH1" s="135"/>
      <c r="BI1" s="136"/>
      <c r="BJ1" s="137" t="str">
        <f>CONCATENATE(Species!A10,Species!B10)</f>
        <v>9</v>
      </c>
      <c r="BK1" s="138"/>
      <c r="BL1" s="138"/>
      <c r="BM1" s="138"/>
      <c r="BN1" s="138"/>
      <c r="BO1" s="138"/>
      <c r="BP1" s="139"/>
      <c r="BQ1" s="134" t="str">
        <f>CONCATENATE(Species!A11,Species!B11)</f>
        <v>10</v>
      </c>
      <c r="BR1" s="135"/>
      <c r="BS1" s="135"/>
      <c r="BT1" s="135"/>
      <c r="BU1" s="135"/>
      <c r="BV1" s="135"/>
      <c r="BW1" s="136"/>
      <c r="BX1" s="137" t="str">
        <f>CONCATENATE(Species!A12,Species!B12)</f>
        <v>11</v>
      </c>
      <c r="BY1" s="138"/>
      <c r="BZ1" s="138"/>
      <c r="CA1" s="138"/>
      <c r="CB1" s="138"/>
      <c r="CC1" s="138"/>
      <c r="CD1" s="139"/>
      <c r="CE1" s="134" t="str">
        <f>CONCATENATE(Species!A13,Species!B13)</f>
        <v>12</v>
      </c>
      <c r="CF1" s="135"/>
      <c r="CG1" s="135"/>
      <c r="CH1" s="135"/>
      <c r="CI1" s="135"/>
      <c r="CJ1" s="135"/>
      <c r="CK1" s="136"/>
      <c r="CL1" s="137" t="str">
        <f>CONCATENATE(Species!A14,Species!B14)</f>
        <v>13</v>
      </c>
      <c r="CM1" s="138"/>
      <c r="CN1" s="138"/>
      <c r="CO1" s="138"/>
      <c r="CP1" s="138"/>
      <c r="CQ1" s="138"/>
      <c r="CR1" s="139"/>
      <c r="CS1" s="134" t="str">
        <f>CONCATENATE(Species!A15,Species!B15)</f>
        <v>14</v>
      </c>
      <c r="CT1" s="135"/>
      <c r="CU1" s="135"/>
      <c r="CV1" s="135"/>
      <c r="CW1" s="135"/>
      <c r="CX1" s="135"/>
      <c r="CY1" s="136"/>
      <c r="CZ1" s="137" t="str">
        <f>CONCATENATE(Species!A16,Species!B16)</f>
        <v>15</v>
      </c>
      <c r="DA1" s="138"/>
      <c r="DB1" s="138"/>
      <c r="DC1" s="138"/>
      <c r="DD1" s="138"/>
      <c r="DE1" s="138"/>
      <c r="DF1" s="139"/>
      <c r="DG1" s="134" t="str">
        <f>CONCATENATE(Species!A17,Species!B17)</f>
        <v>16</v>
      </c>
      <c r="DH1" s="135"/>
      <c r="DI1" s="135"/>
      <c r="DJ1" s="135"/>
      <c r="DK1" s="135"/>
      <c r="DL1" s="135"/>
      <c r="DM1" s="136"/>
      <c r="DN1" s="137" t="str">
        <f>CONCATENATE(Species!A18,Species!B18)</f>
        <v>17</v>
      </c>
      <c r="DO1" s="138"/>
      <c r="DP1" s="138"/>
      <c r="DQ1" s="138"/>
      <c r="DR1" s="138"/>
      <c r="DS1" s="138"/>
      <c r="DT1" s="139"/>
      <c r="DU1" s="134" t="str">
        <f>CONCATENATE(Species!A19,Species!B19)</f>
        <v>18</v>
      </c>
      <c r="DV1" s="135"/>
      <c r="DW1" s="135"/>
      <c r="DX1" s="135"/>
      <c r="DY1" s="135"/>
      <c r="DZ1" s="135"/>
      <c r="EA1" s="136"/>
      <c r="EB1" s="137" t="str">
        <f>CONCATENATE(Species!A20,Species!B20)</f>
        <v>19</v>
      </c>
      <c r="EC1" s="138"/>
      <c r="ED1" s="138"/>
      <c r="EE1" s="138"/>
      <c r="EF1" s="138"/>
      <c r="EG1" s="138"/>
      <c r="EH1" s="139"/>
      <c r="EI1" s="134" t="str">
        <f>CONCATENATE(Species!A21,Species!B21)</f>
        <v>20</v>
      </c>
      <c r="EJ1" s="135"/>
      <c r="EK1" s="135"/>
      <c r="EL1" s="135"/>
      <c r="EM1" s="135"/>
      <c r="EN1" s="135"/>
      <c r="EO1" s="136"/>
      <c r="EP1" s="137" t="str">
        <f>CONCATENATE(Species!A22,Species!B22)</f>
        <v>21</v>
      </c>
      <c r="EQ1" s="138"/>
      <c r="ER1" s="138"/>
      <c r="ES1" s="138"/>
      <c r="ET1" s="138"/>
      <c r="EU1" s="138"/>
      <c r="EV1" s="139"/>
      <c r="EW1" s="134" t="str">
        <f>CONCATENATE(Species!A23,Species!B23)</f>
        <v>22</v>
      </c>
      <c r="EX1" s="135"/>
      <c r="EY1" s="135"/>
      <c r="EZ1" s="135"/>
      <c r="FA1" s="135"/>
      <c r="FB1" s="135"/>
      <c r="FC1" s="136"/>
      <c r="FD1" s="137" t="str">
        <f>CONCATENATE(Species!A24,Species!B24)</f>
        <v>23</v>
      </c>
      <c r="FE1" s="138"/>
      <c r="FF1" s="138"/>
      <c r="FG1" s="138"/>
      <c r="FH1" s="138"/>
      <c r="FI1" s="138"/>
      <c r="FJ1" s="139"/>
      <c r="FK1" s="134" t="str">
        <f>CONCATENATE(Species!A25,Species!B25)</f>
        <v>24</v>
      </c>
      <c r="FL1" s="135"/>
      <c r="FM1" s="135"/>
      <c r="FN1" s="135"/>
      <c r="FO1" s="135"/>
      <c r="FP1" s="135"/>
      <c r="FQ1" s="136"/>
      <c r="FR1" s="137" t="str">
        <f>CONCATENATE(Species!A26,Species!B26)</f>
        <v>25</v>
      </c>
      <c r="FS1" s="138"/>
      <c r="FT1" s="138"/>
      <c r="FU1" s="138"/>
      <c r="FV1" s="138"/>
      <c r="FW1" s="138"/>
      <c r="FX1" s="139"/>
      <c r="FY1" s="134" t="str">
        <f>CONCATENATE(Species!A27,Species!B27)</f>
        <v>26</v>
      </c>
      <c r="FZ1" s="135"/>
      <c r="GA1" s="135"/>
      <c r="GB1" s="135"/>
      <c r="GC1" s="135"/>
      <c r="GD1" s="135"/>
      <c r="GE1" s="136"/>
      <c r="GF1" s="137" t="str">
        <f>CONCATENATE(Species!A28,Species!B28)</f>
        <v>27</v>
      </c>
      <c r="GG1" s="138"/>
      <c r="GH1" s="138"/>
      <c r="GI1" s="138"/>
      <c r="GJ1" s="138"/>
      <c r="GK1" s="138"/>
      <c r="GL1" s="139"/>
      <c r="GM1" s="134" t="str">
        <f>CONCATENATE(Species!A29,Species!B29)</f>
        <v>28</v>
      </c>
      <c r="GN1" s="135"/>
      <c r="GO1" s="135"/>
      <c r="GP1" s="135"/>
      <c r="GQ1" s="135"/>
      <c r="GR1" s="135"/>
      <c r="GS1" s="136"/>
      <c r="GT1" s="137" t="str">
        <f>CONCATENATE(Species!A30,Species!B30)</f>
        <v>29</v>
      </c>
      <c r="GU1" s="138"/>
      <c r="GV1" s="138"/>
      <c r="GW1" s="138"/>
      <c r="GX1" s="138"/>
      <c r="GY1" s="138"/>
      <c r="GZ1" s="139"/>
      <c r="HA1" s="134" t="str">
        <f>CONCATENATE(Species!A31,Species!B31)</f>
        <v>30</v>
      </c>
      <c r="HB1" s="135"/>
      <c r="HC1" s="135"/>
      <c r="HD1" s="135"/>
      <c r="HE1" s="135"/>
      <c r="HF1" s="135"/>
      <c r="HG1" s="136"/>
      <c r="HH1" s="137" t="str">
        <f>CONCATENATE(Species!A32,Species!B32)</f>
        <v>31</v>
      </c>
      <c r="HI1" s="138"/>
      <c r="HJ1" s="138"/>
      <c r="HK1" s="138"/>
      <c r="HL1" s="138"/>
      <c r="HM1" s="138"/>
      <c r="HN1" s="139"/>
      <c r="HO1" s="134" t="str">
        <f>CONCATENATE(Species!A33,Species!B33)</f>
        <v>32</v>
      </c>
      <c r="HP1" s="135"/>
      <c r="HQ1" s="135"/>
      <c r="HR1" s="135"/>
      <c r="HS1" s="135"/>
      <c r="HT1" s="135"/>
      <c r="HU1" s="136"/>
      <c r="HV1" s="137" t="str">
        <f>CONCATENATE(Species!A34,Species!B34)</f>
        <v>33</v>
      </c>
      <c r="HW1" s="138"/>
      <c r="HX1" s="138"/>
      <c r="HY1" s="138"/>
      <c r="HZ1" s="138"/>
      <c r="IA1" s="138"/>
      <c r="IB1" s="139"/>
      <c r="IC1" s="134" t="str">
        <f>CONCATENATE(Species!A35,Species!B35)</f>
        <v>34</v>
      </c>
      <c r="ID1" s="135"/>
      <c r="IE1" s="135"/>
      <c r="IF1" s="135"/>
      <c r="IG1" s="135"/>
      <c r="IH1" s="135"/>
      <c r="II1" s="136"/>
      <c r="IJ1" s="137" t="str">
        <f>CONCATENATE(Species!A36,Species!B36)</f>
        <v>35</v>
      </c>
      <c r="IK1" s="138"/>
      <c r="IL1" s="138"/>
      <c r="IM1" s="138"/>
      <c r="IN1" s="138"/>
      <c r="IO1" s="138"/>
      <c r="IP1" s="139"/>
    </row>
    <row r="2" spans="1:250" s="76" customFormat="1" ht="34.5" customHeight="1">
      <c r="A2" s="75"/>
      <c r="C2" s="75"/>
      <c r="D2" s="75"/>
      <c r="E2" s="75"/>
      <c r="F2" s="137">
        <f>Species!C2</f>
        <v>0</v>
      </c>
      <c r="G2" s="138"/>
      <c r="H2" s="138"/>
      <c r="I2" s="138"/>
      <c r="J2" s="138"/>
      <c r="K2" s="138"/>
      <c r="L2" s="139"/>
      <c r="M2" s="134">
        <f>Species!C3</f>
        <v>0</v>
      </c>
      <c r="N2" s="135"/>
      <c r="O2" s="135"/>
      <c r="P2" s="135"/>
      <c r="Q2" s="135"/>
      <c r="R2" s="135"/>
      <c r="S2" s="136"/>
      <c r="T2" s="137">
        <f>Species!C4</f>
        <v>0</v>
      </c>
      <c r="U2" s="138"/>
      <c r="V2" s="138"/>
      <c r="W2" s="138"/>
      <c r="X2" s="138"/>
      <c r="Y2" s="138"/>
      <c r="Z2" s="139"/>
      <c r="AA2" s="134">
        <f>Species!C5</f>
        <v>0</v>
      </c>
      <c r="AB2" s="135"/>
      <c r="AC2" s="135"/>
      <c r="AD2" s="135"/>
      <c r="AE2" s="135"/>
      <c r="AF2" s="135"/>
      <c r="AG2" s="136"/>
      <c r="AH2" s="137">
        <f>Species!C6</f>
        <v>0</v>
      </c>
      <c r="AI2" s="138"/>
      <c r="AJ2" s="138"/>
      <c r="AK2" s="138"/>
      <c r="AL2" s="138"/>
      <c r="AM2" s="138"/>
      <c r="AN2" s="139"/>
      <c r="AO2" s="134">
        <f>Species!C7</f>
        <v>0</v>
      </c>
      <c r="AP2" s="135"/>
      <c r="AQ2" s="135"/>
      <c r="AR2" s="135"/>
      <c r="AS2" s="135"/>
      <c r="AT2" s="135"/>
      <c r="AU2" s="136"/>
      <c r="AV2" s="137">
        <f>Species!C8</f>
        <v>0</v>
      </c>
      <c r="AW2" s="138"/>
      <c r="AX2" s="138"/>
      <c r="AY2" s="138"/>
      <c r="AZ2" s="138"/>
      <c r="BA2" s="138"/>
      <c r="BB2" s="139"/>
      <c r="BC2" s="134">
        <f>Species!C9</f>
        <v>0</v>
      </c>
      <c r="BD2" s="135"/>
      <c r="BE2" s="135"/>
      <c r="BF2" s="135"/>
      <c r="BG2" s="135"/>
      <c r="BH2" s="135"/>
      <c r="BI2" s="136"/>
      <c r="BJ2" s="137">
        <f>Species!C10</f>
        <v>0</v>
      </c>
      <c r="BK2" s="138"/>
      <c r="BL2" s="138"/>
      <c r="BM2" s="138"/>
      <c r="BN2" s="138"/>
      <c r="BO2" s="138"/>
      <c r="BP2" s="139"/>
      <c r="BQ2" s="134">
        <f>Species!C11</f>
        <v>0</v>
      </c>
      <c r="BR2" s="135"/>
      <c r="BS2" s="135"/>
      <c r="BT2" s="135"/>
      <c r="BU2" s="135"/>
      <c r="BV2" s="135"/>
      <c r="BW2" s="136"/>
      <c r="BX2" s="137">
        <f>Species!C12</f>
        <v>0</v>
      </c>
      <c r="BY2" s="138"/>
      <c r="BZ2" s="138"/>
      <c r="CA2" s="138"/>
      <c r="CB2" s="138"/>
      <c r="CC2" s="138"/>
      <c r="CD2" s="139"/>
      <c r="CE2" s="134">
        <f>Species!C13</f>
        <v>0</v>
      </c>
      <c r="CF2" s="135"/>
      <c r="CG2" s="135"/>
      <c r="CH2" s="135"/>
      <c r="CI2" s="135"/>
      <c r="CJ2" s="135"/>
      <c r="CK2" s="136"/>
      <c r="CL2" s="137">
        <f>Species!C14</f>
        <v>0</v>
      </c>
      <c r="CM2" s="138"/>
      <c r="CN2" s="138"/>
      <c r="CO2" s="138"/>
      <c r="CP2" s="138"/>
      <c r="CQ2" s="138"/>
      <c r="CR2" s="139"/>
      <c r="CS2" s="134">
        <f>Species!C15</f>
        <v>0</v>
      </c>
      <c r="CT2" s="135"/>
      <c r="CU2" s="135"/>
      <c r="CV2" s="135"/>
      <c r="CW2" s="135"/>
      <c r="CX2" s="135"/>
      <c r="CY2" s="136"/>
      <c r="CZ2" s="137">
        <f>Species!C16</f>
        <v>0</v>
      </c>
      <c r="DA2" s="138"/>
      <c r="DB2" s="138"/>
      <c r="DC2" s="138"/>
      <c r="DD2" s="138"/>
      <c r="DE2" s="138"/>
      <c r="DF2" s="139"/>
      <c r="DG2" s="134">
        <f>Species!C17</f>
        <v>0</v>
      </c>
      <c r="DH2" s="135"/>
      <c r="DI2" s="135"/>
      <c r="DJ2" s="135"/>
      <c r="DK2" s="135"/>
      <c r="DL2" s="135"/>
      <c r="DM2" s="136"/>
      <c r="DN2" s="137">
        <f>Species!C18</f>
        <v>0</v>
      </c>
      <c r="DO2" s="138"/>
      <c r="DP2" s="138"/>
      <c r="DQ2" s="138"/>
      <c r="DR2" s="138"/>
      <c r="DS2" s="138"/>
      <c r="DT2" s="139"/>
      <c r="DU2" s="134">
        <f>Species!C19</f>
        <v>0</v>
      </c>
      <c r="DV2" s="135"/>
      <c r="DW2" s="135"/>
      <c r="DX2" s="135"/>
      <c r="DY2" s="135"/>
      <c r="DZ2" s="135"/>
      <c r="EA2" s="136"/>
      <c r="EB2" s="137">
        <f>Species!C20</f>
        <v>0</v>
      </c>
      <c r="EC2" s="138"/>
      <c r="ED2" s="138"/>
      <c r="EE2" s="138"/>
      <c r="EF2" s="138"/>
      <c r="EG2" s="138"/>
      <c r="EH2" s="139"/>
      <c r="EI2" s="134">
        <f>Species!C21</f>
        <v>0</v>
      </c>
      <c r="EJ2" s="135"/>
      <c r="EK2" s="135"/>
      <c r="EL2" s="135"/>
      <c r="EM2" s="135"/>
      <c r="EN2" s="135"/>
      <c r="EO2" s="136"/>
      <c r="EP2" s="137">
        <f>Species!C22</f>
        <v>0</v>
      </c>
      <c r="EQ2" s="138"/>
      <c r="ER2" s="138"/>
      <c r="ES2" s="138"/>
      <c r="ET2" s="138"/>
      <c r="EU2" s="138"/>
      <c r="EV2" s="139"/>
      <c r="EW2" s="134">
        <f>Species!C23</f>
        <v>0</v>
      </c>
      <c r="EX2" s="135"/>
      <c r="EY2" s="135"/>
      <c r="EZ2" s="135"/>
      <c r="FA2" s="135"/>
      <c r="FB2" s="135"/>
      <c r="FC2" s="136"/>
      <c r="FD2" s="137">
        <f>Species!C24</f>
        <v>0</v>
      </c>
      <c r="FE2" s="138"/>
      <c r="FF2" s="138"/>
      <c r="FG2" s="138"/>
      <c r="FH2" s="138"/>
      <c r="FI2" s="138"/>
      <c r="FJ2" s="139"/>
      <c r="FK2" s="134">
        <f>Species!C25</f>
        <v>0</v>
      </c>
      <c r="FL2" s="135"/>
      <c r="FM2" s="135"/>
      <c r="FN2" s="135"/>
      <c r="FO2" s="135"/>
      <c r="FP2" s="135"/>
      <c r="FQ2" s="136"/>
      <c r="FR2" s="137">
        <f>Species!C26</f>
        <v>0</v>
      </c>
      <c r="FS2" s="138"/>
      <c r="FT2" s="138"/>
      <c r="FU2" s="138"/>
      <c r="FV2" s="138"/>
      <c r="FW2" s="138"/>
      <c r="FX2" s="139"/>
      <c r="FY2" s="134">
        <f>Species!C27</f>
        <v>0</v>
      </c>
      <c r="FZ2" s="135"/>
      <c r="GA2" s="135"/>
      <c r="GB2" s="135"/>
      <c r="GC2" s="135"/>
      <c r="GD2" s="135"/>
      <c r="GE2" s="136"/>
      <c r="GF2" s="137">
        <f>Species!C28</f>
        <v>0</v>
      </c>
      <c r="GG2" s="138"/>
      <c r="GH2" s="138"/>
      <c r="GI2" s="138"/>
      <c r="GJ2" s="138"/>
      <c r="GK2" s="138"/>
      <c r="GL2" s="139"/>
      <c r="GM2" s="134">
        <f>Species!C29</f>
        <v>0</v>
      </c>
      <c r="GN2" s="135"/>
      <c r="GO2" s="135"/>
      <c r="GP2" s="135"/>
      <c r="GQ2" s="135"/>
      <c r="GR2" s="135"/>
      <c r="GS2" s="136"/>
      <c r="GT2" s="137">
        <f>Species!C2</f>
        <v>0</v>
      </c>
      <c r="GU2" s="138"/>
      <c r="GV2" s="138"/>
      <c r="GW2" s="138"/>
      <c r="GX2" s="138"/>
      <c r="GY2" s="138"/>
      <c r="GZ2" s="139"/>
      <c r="HA2" s="134">
        <f>Species!C31</f>
        <v>0</v>
      </c>
      <c r="HB2" s="135"/>
      <c r="HC2" s="135"/>
      <c r="HD2" s="135"/>
      <c r="HE2" s="135"/>
      <c r="HF2" s="135"/>
      <c r="HG2" s="136"/>
      <c r="HH2" s="137">
        <f>Species!C32</f>
        <v>0</v>
      </c>
      <c r="HI2" s="138"/>
      <c r="HJ2" s="138"/>
      <c r="HK2" s="138"/>
      <c r="HL2" s="138"/>
      <c r="HM2" s="138"/>
      <c r="HN2" s="139"/>
      <c r="HO2" s="134">
        <f>Species!C33</f>
        <v>0</v>
      </c>
      <c r="HP2" s="135"/>
      <c r="HQ2" s="135"/>
      <c r="HR2" s="135"/>
      <c r="HS2" s="135"/>
      <c r="HT2" s="135"/>
      <c r="HU2" s="136"/>
      <c r="HV2" s="137">
        <f>Species!C34</f>
        <v>0</v>
      </c>
      <c r="HW2" s="138"/>
      <c r="HX2" s="138"/>
      <c r="HY2" s="138"/>
      <c r="HZ2" s="138"/>
      <c r="IA2" s="138"/>
      <c r="IB2" s="139"/>
      <c r="IC2" s="134">
        <f>Species!C35</f>
        <v>0</v>
      </c>
      <c r="ID2" s="135"/>
      <c r="IE2" s="135"/>
      <c r="IF2" s="135"/>
      <c r="IG2" s="135"/>
      <c r="IH2" s="135"/>
      <c r="II2" s="136"/>
      <c r="IJ2" s="137">
        <f>Species!C36</f>
        <v>0</v>
      </c>
      <c r="IK2" s="138"/>
      <c r="IL2" s="138"/>
      <c r="IM2" s="138"/>
      <c r="IN2" s="138"/>
      <c r="IO2" s="138"/>
      <c r="IP2" s="139"/>
    </row>
    <row r="3" spans="1:250" ht="40.5" customHeight="1">
      <c r="A3" s="118" t="s">
        <v>59</v>
      </c>
      <c r="B3" s="78" t="s">
        <v>165</v>
      </c>
      <c r="C3" s="91" t="s">
        <v>61</v>
      </c>
      <c r="D3" s="91" t="s">
        <v>62</v>
      </c>
      <c r="E3" s="91" t="s">
        <v>63</v>
      </c>
      <c r="F3" s="91" t="s">
        <v>24</v>
      </c>
      <c r="G3" s="91" t="s">
        <v>25</v>
      </c>
      <c r="H3" s="91" t="s">
        <v>0</v>
      </c>
      <c r="I3" s="91" t="s">
        <v>1</v>
      </c>
      <c r="J3" s="91" t="s">
        <v>27</v>
      </c>
      <c r="K3" s="91" t="s">
        <v>2</v>
      </c>
      <c r="L3" s="91" t="s">
        <v>28</v>
      </c>
      <c r="M3" s="91" t="s">
        <v>24</v>
      </c>
      <c r="N3" s="91" t="s">
        <v>25</v>
      </c>
      <c r="O3" s="91" t="s">
        <v>0</v>
      </c>
      <c r="P3" s="91" t="s">
        <v>1</v>
      </c>
      <c r="Q3" s="91" t="s">
        <v>27</v>
      </c>
      <c r="R3" s="91" t="s">
        <v>2</v>
      </c>
      <c r="S3" s="91" t="s">
        <v>28</v>
      </c>
      <c r="T3" s="91" t="s">
        <v>24</v>
      </c>
      <c r="U3" s="91" t="s">
        <v>25</v>
      </c>
      <c r="V3" s="91" t="s">
        <v>0</v>
      </c>
      <c r="W3" s="91" t="s">
        <v>1</v>
      </c>
      <c r="X3" s="91" t="s">
        <v>27</v>
      </c>
      <c r="Y3" s="91" t="s">
        <v>2</v>
      </c>
      <c r="Z3" s="91" t="s">
        <v>28</v>
      </c>
      <c r="AA3" s="91" t="s">
        <v>24</v>
      </c>
      <c r="AB3" s="91" t="s">
        <v>25</v>
      </c>
      <c r="AC3" s="91" t="s">
        <v>0</v>
      </c>
      <c r="AD3" s="91" t="s">
        <v>1</v>
      </c>
      <c r="AE3" s="91" t="s">
        <v>27</v>
      </c>
      <c r="AF3" s="91" t="s">
        <v>2</v>
      </c>
      <c r="AG3" s="91" t="s">
        <v>28</v>
      </c>
      <c r="AH3" s="91" t="s">
        <v>24</v>
      </c>
      <c r="AI3" s="91" t="s">
        <v>25</v>
      </c>
      <c r="AJ3" s="91" t="s">
        <v>0</v>
      </c>
      <c r="AK3" s="91" t="s">
        <v>1</v>
      </c>
      <c r="AL3" s="91" t="s">
        <v>27</v>
      </c>
      <c r="AM3" s="91" t="s">
        <v>2</v>
      </c>
      <c r="AN3" s="91" t="s">
        <v>28</v>
      </c>
      <c r="AO3" s="91" t="s">
        <v>24</v>
      </c>
      <c r="AP3" s="91" t="s">
        <v>25</v>
      </c>
      <c r="AQ3" s="91" t="s">
        <v>0</v>
      </c>
      <c r="AR3" s="91" t="s">
        <v>1</v>
      </c>
      <c r="AS3" s="91" t="s">
        <v>27</v>
      </c>
      <c r="AT3" s="91" t="s">
        <v>2</v>
      </c>
      <c r="AU3" s="91" t="s">
        <v>28</v>
      </c>
      <c r="AV3" s="91" t="s">
        <v>24</v>
      </c>
      <c r="AW3" s="91" t="s">
        <v>25</v>
      </c>
      <c r="AX3" s="91" t="s">
        <v>0</v>
      </c>
      <c r="AY3" s="91" t="s">
        <v>1</v>
      </c>
      <c r="AZ3" s="91" t="s">
        <v>27</v>
      </c>
      <c r="BA3" s="91" t="s">
        <v>2</v>
      </c>
      <c r="BB3" s="91" t="s">
        <v>28</v>
      </c>
      <c r="BC3" s="91" t="s">
        <v>24</v>
      </c>
      <c r="BD3" s="91" t="s">
        <v>25</v>
      </c>
      <c r="BE3" s="91" t="s">
        <v>0</v>
      </c>
      <c r="BF3" s="91" t="s">
        <v>1</v>
      </c>
      <c r="BG3" s="91" t="s">
        <v>27</v>
      </c>
      <c r="BH3" s="91" t="s">
        <v>2</v>
      </c>
      <c r="BI3" s="91" t="s">
        <v>28</v>
      </c>
      <c r="BJ3" s="91" t="s">
        <v>24</v>
      </c>
      <c r="BK3" s="91" t="s">
        <v>25</v>
      </c>
      <c r="BL3" s="91" t="s">
        <v>0</v>
      </c>
      <c r="BM3" s="91" t="s">
        <v>1</v>
      </c>
      <c r="BN3" s="91" t="s">
        <v>27</v>
      </c>
      <c r="BO3" s="91" t="s">
        <v>2</v>
      </c>
      <c r="BP3" s="91" t="s">
        <v>28</v>
      </c>
      <c r="BQ3" s="91" t="s">
        <v>24</v>
      </c>
      <c r="BR3" s="91" t="s">
        <v>25</v>
      </c>
      <c r="BS3" s="91" t="s">
        <v>0</v>
      </c>
      <c r="BT3" s="91" t="s">
        <v>1</v>
      </c>
      <c r="BU3" s="91" t="s">
        <v>27</v>
      </c>
      <c r="BV3" s="91" t="s">
        <v>2</v>
      </c>
      <c r="BW3" s="91" t="s">
        <v>28</v>
      </c>
      <c r="BX3" s="91" t="s">
        <v>24</v>
      </c>
      <c r="BY3" s="91" t="s">
        <v>25</v>
      </c>
      <c r="BZ3" s="91" t="s">
        <v>0</v>
      </c>
      <c r="CA3" s="91" t="s">
        <v>1</v>
      </c>
      <c r="CB3" s="91" t="s">
        <v>27</v>
      </c>
      <c r="CC3" s="91" t="s">
        <v>2</v>
      </c>
      <c r="CD3" s="91" t="s">
        <v>28</v>
      </c>
      <c r="CE3" s="91" t="s">
        <v>24</v>
      </c>
      <c r="CF3" s="91" t="s">
        <v>25</v>
      </c>
      <c r="CG3" s="91" t="s">
        <v>0</v>
      </c>
      <c r="CH3" s="91" t="s">
        <v>1</v>
      </c>
      <c r="CI3" s="91" t="s">
        <v>27</v>
      </c>
      <c r="CJ3" s="91" t="s">
        <v>2</v>
      </c>
      <c r="CK3" s="91" t="s">
        <v>28</v>
      </c>
      <c r="CL3" s="91" t="s">
        <v>24</v>
      </c>
      <c r="CM3" s="91" t="s">
        <v>25</v>
      </c>
      <c r="CN3" s="91" t="s">
        <v>0</v>
      </c>
      <c r="CO3" s="91" t="s">
        <v>1</v>
      </c>
      <c r="CP3" s="91" t="s">
        <v>27</v>
      </c>
      <c r="CQ3" s="91" t="s">
        <v>2</v>
      </c>
      <c r="CR3" s="91" t="s">
        <v>28</v>
      </c>
      <c r="CS3" s="91" t="s">
        <v>24</v>
      </c>
      <c r="CT3" s="91" t="s">
        <v>25</v>
      </c>
      <c r="CU3" s="91" t="s">
        <v>0</v>
      </c>
      <c r="CV3" s="91" t="s">
        <v>1</v>
      </c>
      <c r="CW3" s="91" t="s">
        <v>27</v>
      </c>
      <c r="CX3" s="91" t="s">
        <v>2</v>
      </c>
      <c r="CY3" s="91" t="s">
        <v>28</v>
      </c>
      <c r="CZ3" s="91" t="s">
        <v>24</v>
      </c>
      <c r="DA3" s="91" t="s">
        <v>25</v>
      </c>
      <c r="DB3" s="91" t="s">
        <v>0</v>
      </c>
      <c r="DC3" s="91" t="s">
        <v>1</v>
      </c>
      <c r="DD3" s="91" t="s">
        <v>27</v>
      </c>
      <c r="DE3" s="91" t="s">
        <v>2</v>
      </c>
      <c r="DF3" s="91" t="s">
        <v>28</v>
      </c>
      <c r="DG3" s="91" t="s">
        <v>24</v>
      </c>
      <c r="DH3" s="91" t="s">
        <v>25</v>
      </c>
      <c r="DI3" s="91" t="s">
        <v>0</v>
      </c>
      <c r="DJ3" s="91" t="s">
        <v>1</v>
      </c>
      <c r="DK3" s="91" t="s">
        <v>27</v>
      </c>
      <c r="DL3" s="91" t="s">
        <v>2</v>
      </c>
      <c r="DM3" s="91" t="s">
        <v>28</v>
      </c>
      <c r="DN3" s="91" t="s">
        <v>24</v>
      </c>
      <c r="DO3" s="91" t="s">
        <v>25</v>
      </c>
      <c r="DP3" s="91" t="s">
        <v>0</v>
      </c>
      <c r="DQ3" s="91" t="s">
        <v>1</v>
      </c>
      <c r="DR3" s="91" t="s">
        <v>27</v>
      </c>
      <c r="DS3" s="91" t="s">
        <v>2</v>
      </c>
      <c r="DT3" s="91" t="s">
        <v>28</v>
      </c>
      <c r="DU3" s="91" t="s">
        <v>24</v>
      </c>
      <c r="DV3" s="91" t="s">
        <v>25</v>
      </c>
      <c r="DW3" s="91" t="s">
        <v>0</v>
      </c>
      <c r="DX3" s="91" t="s">
        <v>1</v>
      </c>
      <c r="DY3" s="91" t="s">
        <v>27</v>
      </c>
      <c r="DZ3" s="91" t="s">
        <v>2</v>
      </c>
      <c r="EA3" s="91" t="s">
        <v>28</v>
      </c>
      <c r="EB3" s="91" t="s">
        <v>24</v>
      </c>
      <c r="EC3" s="91" t="s">
        <v>25</v>
      </c>
      <c r="ED3" s="91" t="s">
        <v>0</v>
      </c>
      <c r="EE3" s="91" t="s">
        <v>1</v>
      </c>
      <c r="EF3" s="91" t="s">
        <v>27</v>
      </c>
      <c r="EG3" s="91" t="s">
        <v>2</v>
      </c>
      <c r="EH3" s="91" t="s">
        <v>28</v>
      </c>
      <c r="EI3" s="91" t="s">
        <v>24</v>
      </c>
      <c r="EJ3" s="91" t="s">
        <v>25</v>
      </c>
      <c r="EK3" s="91" t="s">
        <v>0</v>
      </c>
      <c r="EL3" s="91" t="s">
        <v>1</v>
      </c>
      <c r="EM3" s="91" t="s">
        <v>27</v>
      </c>
      <c r="EN3" s="91" t="s">
        <v>2</v>
      </c>
      <c r="EO3" s="91" t="s">
        <v>28</v>
      </c>
      <c r="EP3" s="91" t="s">
        <v>24</v>
      </c>
      <c r="EQ3" s="91" t="s">
        <v>25</v>
      </c>
      <c r="ER3" s="91" t="s">
        <v>0</v>
      </c>
      <c r="ES3" s="91" t="s">
        <v>1</v>
      </c>
      <c r="ET3" s="91" t="s">
        <v>27</v>
      </c>
      <c r="EU3" s="91" t="s">
        <v>2</v>
      </c>
      <c r="EV3" s="91" t="s">
        <v>28</v>
      </c>
      <c r="EW3" s="91" t="s">
        <v>24</v>
      </c>
      <c r="EX3" s="91" t="s">
        <v>25</v>
      </c>
      <c r="EY3" s="91" t="s">
        <v>0</v>
      </c>
      <c r="EZ3" s="91" t="s">
        <v>1</v>
      </c>
      <c r="FA3" s="91" t="s">
        <v>27</v>
      </c>
      <c r="FB3" s="91" t="s">
        <v>2</v>
      </c>
      <c r="FC3" s="91" t="s">
        <v>28</v>
      </c>
      <c r="FD3" s="91" t="s">
        <v>24</v>
      </c>
      <c r="FE3" s="91" t="s">
        <v>25</v>
      </c>
      <c r="FF3" s="91" t="s">
        <v>0</v>
      </c>
      <c r="FG3" s="91" t="s">
        <v>1</v>
      </c>
      <c r="FH3" s="91" t="s">
        <v>27</v>
      </c>
      <c r="FI3" s="91" t="s">
        <v>2</v>
      </c>
      <c r="FJ3" s="91" t="s">
        <v>28</v>
      </c>
      <c r="FK3" s="91" t="s">
        <v>24</v>
      </c>
      <c r="FL3" s="91" t="s">
        <v>25</v>
      </c>
      <c r="FM3" s="91" t="s">
        <v>0</v>
      </c>
      <c r="FN3" s="91" t="s">
        <v>1</v>
      </c>
      <c r="FO3" s="91" t="s">
        <v>27</v>
      </c>
      <c r="FP3" s="91" t="s">
        <v>2</v>
      </c>
      <c r="FQ3" s="91" t="s">
        <v>28</v>
      </c>
      <c r="FR3" s="91" t="s">
        <v>24</v>
      </c>
      <c r="FS3" s="91" t="s">
        <v>25</v>
      </c>
      <c r="FT3" s="91" t="s">
        <v>0</v>
      </c>
      <c r="FU3" s="91" t="s">
        <v>1</v>
      </c>
      <c r="FV3" s="91" t="s">
        <v>27</v>
      </c>
      <c r="FW3" s="91" t="s">
        <v>2</v>
      </c>
      <c r="FX3" s="91" t="s">
        <v>28</v>
      </c>
      <c r="FY3" s="91" t="s">
        <v>24</v>
      </c>
      <c r="FZ3" s="91" t="s">
        <v>25</v>
      </c>
      <c r="GA3" s="91" t="s">
        <v>0</v>
      </c>
      <c r="GB3" s="91" t="s">
        <v>1</v>
      </c>
      <c r="GC3" s="91" t="s">
        <v>27</v>
      </c>
      <c r="GD3" s="91" t="s">
        <v>2</v>
      </c>
      <c r="GE3" s="91" t="s">
        <v>28</v>
      </c>
      <c r="GF3" s="91" t="s">
        <v>24</v>
      </c>
      <c r="GG3" s="91" t="s">
        <v>25</v>
      </c>
      <c r="GH3" s="91" t="s">
        <v>0</v>
      </c>
      <c r="GI3" s="91" t="s">
        <v>1</v>
      </c>
      <c r="GJ3" s="91" t="s">
        <v>27</v>
      </c>
      <c r="GK3" s="91" t="s">
        <v>2</v>
      </c>
      <c r="GL3" s="91" t="s">
        <v>28</v>
      </c>
      <c r="GM3" s="91" t="s">
        <v>24</v>
      </c>
      <c r="GN3" s="91" t="s">
        <v>25</v>
      </c>
      <c r="GO3" s="91" t="s">
        <v>0</v>
      </c>
      <c r="GP3" s="91" t="s">
        <v>1</v>
      </c>
      <c r="GQ3" s="91" t="s">
        <v>27</v>
      </c>
      <c r="GR3" s="91" t="s">
        <v>2</v>
      </c>
      <c r="GS3" s="91" t="s">
        <v>28</v>
      </c>
      <c r="GT3" s="91" t="s">
        <v>24</v>
      </c>
      <c r="GU3" s="91" t="s">
        <v>25</v>
      </c>
      <c r="GV3" s="91" t="s">
        <v>0</v>
      </c>
      <c r="GW3" s="91" t="s">
        <v>1</v>
      </c>
      <c r="GX3" s="91" t="s">
        <v>27</v>
      </c>
      <c r="GY3" s="91" t="s">
        <v>2</v>
      </c>
      <c r="GZ3" s="91" t="s">
        <v>28</v>
      </c>
      <c r="HA3" s="91" t="s">
        <v>24</v>
      </c>
      <c r="HB3" s="91" t="s">
        <v>25</v>
      </c>
      <c r="HC3" s="91" t="s">
        <v>0</v>
      </c>
      <c r="HD3" s="91" t="s">
        <v>1</v>
      </c>
      <c r="HE3" s="91" t="s">
        <v>27</v>
      </c>
      <c r="HF3" s="91" t="s">
        <v>2</v>
      </c>
      <c r="HG3" s="91" t="s">
        <v>28</v>
      </c>
      <c r="HH3" s="91" t="s">
        <v>24</v>
      </c>
      <c r="HI3" s="91" t="s">
        <v>25</v>
      </c>
      <c r="HJ3" s="91" t="s">
        <v>0</v>
      </c>
      <c r="HK3" s="91" t="s">
        <v>1</v>
      </c>
      <c r="HL3" s="91" t="s">
        <v>27</v>
      </c>
      <c r="HM3" s="91" t="s">
        <v>2</v>
      </c>
      <c r="HN3" s="91" t="s">
        <v>28</v>
      </c>
      <c r="HO3" s="91" t="s">
        <v>24</v>
      </c>
      <c r="HP3" s="91" t="s">
        <v>25</v>
      </c>
      <c r="HQ3" s="91" t="s">
        <v>0</v>
      </c>
      <c r="HR3" s="91" t="s">
        <v>1</v>
      </c>
      <c r="HS3" s="91" t="s">
        <v>27</v>
      </c>
      <c r="HT3" s="91" t="s">
        <v>2</v>
      </c>
      <c r="HU3" s="91" t="s">
        <v>28</v>
      </c>
      <c r="HV3" s="91" t="s">
        <v>24</v>
      </c>
      <c r="HW3" s="91" t="s">
        <v>25</v>
      </c>
      <c r="HX3" s="91" t="s">
        <v>0</v>
      </c>
      <c r="HY3" s="91" t="s">
        <v>1</v>
      </c>
      <c r="HZ3" s="91" t="s">
        <v>27</v>
      </c>
      <c r="IA3" s="91" t="s">
        <v>2</v>
      </c>
      <c r="IB3" s="91" t="s">
        <v>28</v>
      </c>
      <c r="IC3" s="91" t="s">
        <v>24</v>
      </c>
      <c r="ID3" s="91" t="s">
        <v>25</v>
      </c>
      <c r="IE3" s="91" t="s">
        <v>0</v>
      </c>
      <c r="IF3" s="91" t="s">
        <v>1</v>
      </c>
      <c r="IG3" s="91" t="s">
        <v>27</v>
      </c>
      <c r="IH3" s="91" t="s">
        <v>2</v>
      </c>
      <c r="II3" s="91" t="s">
        <v>28</v>
      </c>
      <c r="IJ3" s="91" t="s">
        <v>24</v>
      </c>
      <c r="IK3" s="91" t="s">
        <v>25</v>
      </c>
      <c r="IL3" s="91" t="s">
        <v>0</v>
      </c>
      <c r="IM3" s="91" t="s">
        <v>1</v>
      </c>
      <c r="IN3" s="91" t="s">
        <v>27</v>
      </c>
      <c r="IO3" s="91" t="s">
        <v>2</v>
      </c>
      <c r="IP3" s="91" t="s">
        <v>28</v>
      </c>
    </row>
    <row r="4" spans="1:250" ht="57" customHeight="1">
      <c r="A4" s="69" t="s">
        <v>64</v>
      </c>
      <c r="B4" s="71"/>
      <c r="C4" s="72" t="s">
        <v>3</v>
      </c>
      <c r="D4" s="72" t="s">
        <v>65</v>
      </c>
      <c r="E4" s="72" t="s">
        <v>4</v>
      </c>
      <c r="F4" s="1"/>
      <c r="G4" s="1"/>
      <c r="H4" s="1">
        <v>2</v>
      </c>
      <c r="I4" s="68"/>
      <c r="J4" s="10">
        <f>I4*H4</f>
        <v>0</v>
      </c>
      <c r="K4" s="68"/>
      <c r="L4" s="1">
        <f aca="true" t="shared" si="0" ref="L4:L13">K4*H4</f>
        <v>0</v>
      </c>
      <c r="M4" s="2"/>
      <c r="N4" s="2"/>
      <c r="O4" s="2">
        <v>2</v>
      </c>
      <c r="P4" s="72"/>
      <c r="Q4" s="3">
        <f>P4*O4</f>
        <v>0</v>
      </c>
      <c r="R4" s="72"/>
      <c r="S4" s="2">
        <f>R4*O4</f>
        <v>0</v>
      </c>
      <c r="T4" s="1"/>
      <c r="U4" s="1"/>
      <c r="V4" s="1">
        <v>2</v>
      </c>
      <c r="W4" s="1"/>
      <c r="X4" s="10">
        <f>W4*V4</f>
        <v>0</v>
      </c>
      <c r="Y4" s="1"/>
      <c r="Z4" s="1">
        <f>Y4*V4</f>
        <v>0</v>
      </c>
      <c r="AA4" s="2"/>
      <c r="AB4" s="2"/>
      <c r="AC4" s="2">
        <v>2</v>
      </c>
      <c r="AD4" s="2"/>
      <c r="AE4" s="3">
        <f>AD4*AC4</f>
        <v>0</v>
      </c>
      <c r="AF4" s="2"/>
      <c r="AG4" s="2">
        <f>AF4*AC4</f>
        <v>0</v>
      </c>
      <c r="AH4" s="1"/>
      <c r="AI4" s="1"/>
      <c r="AJ4" s="1">
        <v>2</v>
      </c>
      <c r="AK4" s="1"/>
      <c r="AL4" s="10">
        <f>AK4*AJ4</f>
        <v>0</v>
      </c>
      <c r="AM4" s="1"/>
      <c r="AN4" s="1">
        <f>AM4*AJ4</f>
        <v>0</v>
      </c>
      <c r="AO4" s="2"/>
      <c r="AP4" s="2"/>
      <c r="AQ4" s="2">
        <v>2</v>
      </c>
      <c r="AR4" s="2"/>
      <c r="AS4" s="3">
        <f>AR4*AQ4</f>
        <v>0</v>
      </c>
      <c r="AT4" s="2"/>
      <c r="AU4" s="2">
        <f>AT4*AQ4</f>
        <v>0</v>
      </c>
      <c r="AV4" s="1"/>
      <c r="AW4" s="1"/>
      <c r="AX4" s="1">
        <v>2</v>
      </c>
      <c r="AY4" s="1"/>
      <c r="AZ4" s="10">
        <f>AY4*AX4</f>
        <v>0</v>
      </c>
      <c r="BA4" s="1"/>
      <c r="BB4" s="1">
        <f>BA4*AX4</f>
        <v>0</v>
      </c>
      <c r="BC4" s="2"/>
      <c r="BD4" s="2"/>
      <c r="BE4" s="2">
        <v>2</v>
      </c>
      <c r="BF4" s="2"/>
      <c r="BG4" s="3">
        <f>BF4*BE4</f>
        <v>0</v>
      </c>
      <c r="BH4" s="2"/>
      <c r="BI4" s="2">
        <f>BH4*BE4</f>
        <v>0</v>
      </c>
      <c r="BJ4" s="1"/>
      <c r="BK4" s="1"/>
      <c r="BL4" s="1">
        <v>2</v>
      </c>
      <c r="BM4" s="1"/>
      <c r="BN4" s="10">
        <f>BM4*BL4</f>
        <v>0</v>
      </c>
      <c r="BO4" s="1"/>
      <c r="BP4" s="1">
        <f>BO4*BL4</f>
        <v>0</v>
      </c>
      <c r="BQ4" s="2"/>
      <c r="BR4" s="2"/>
      <c r="BS4" s="2">
        <v>2</v>
      </c>
      <c r="BT4" s="2"/>
      <c r="BU4" s="3">
        <f>BT4*BS4</f>
        <v>0</v>
      </c>
      <c r="BV4" s="2"/>
      <c r="BW4" s="2">
        <f>BV4*BS4</f>
        <v>0</v>
      </c>
      <c r="BX4" s="1"/>
      <c r="BY4" s="1"/>
      <c r="BZ4" s="1">
        <v>2</v>
      </c>
      <c r="CA4" s="1"/>
      <c r="CB4" s="10">
        <f>CA4*BZ4</f>
        <v>0</v>
      </c>
      <c r="CC4" s="1"/>
      <c r="CD4" s="1">
        <f>CC4*BZ4</f>
        <v>0</v>
      </c>
      <c r="CE4" s="2"/>
      <c r="CF4" s="2"/>
      <c r="CG4" s="2">
        <v>2</v>
      </c>
      <c r="CH4" s="2"/>
      <c r="CI4" s="3">
        <f>CH4*CG4</f>
        <v>0</v>
      </c>
      <c r="CJ4" s="2"/>
      <c r="CK4" s="2">
        <f>CJ4*CG4</f>
        <v>0</v>
      </c>
      <c r="CL4" s="1"/>
      <c r="CM4" s="1"/>
      <c r="CN4" s="1">
        <v>2</v>
      </c>
      <c r="CO4" s="1"/>
      <c r="CP4" s="10">
        <f>CO4*CN4</f>
        <v>0</v>
      </c>
      <c r="CQ4" s="1"/>
      <c r="CR4" s="1">
        <f>CQ4*CN4</f>
        <v>0</v>
      </c>
      <c r="CS4" s="2"/>
      <c r="CT4" s="2"/>
      <c r="CU4" s="2">
        <v>2</v>
      </c>
      <c r="CV4" s="2"/>
      <c r="CW4" s="3">
        <f>CV4*CU4</f>
        <v>0</v>
      </c>
      <c r="CX4" s="2"/>
      <c r="CY4" s="2">
        <f>CX4*CU4</f>
        <v>0</v>
      </c>
      <c r="CZ4" s="1"/>
      <c r="DA4" s="1"/>
      <c r="DB4" s="1">
        <v>2</v>
      </c>
      <c r="DC4" s="1"/>
      <c r="DD4" s="10">
        <f>DC4*DB4</f>
        <v>0</v>
      </c>
      <c r="DE4" s="1"/>
      <c r="DF4" s="1">
        <f>DE4*DB4</f>
        <v>0</v>
      </c>
      <c r="DG4" s="2"/>
      <c r="DH4" s="2"/>
      <c r="DI4" s="2">
        <v>2</v>
      </c>
      <c r="DJ4" s="2"/>
      <c r="DK4" s="3">
        <f>DJ4*DI4</f>
        <v>0</v>
      </c>
      <c r="DL4" s="2"/>
      <c r="DM4" s="2">
        <f>DL4*DI4</f>
        <v>0</v>
      </c>
      <c r="DN4" s="1"/>
      <c r="DO4" s="1"/>
      <c r="DP4" s="1">
        <v>2</v>
      </c>
      <c r="DQ4" s="1"/>
      <c r="DR4" s="10">
        <f>DQ4*DP4</f>
        <v>0</v>
      </c>
      <c r="DS4" s="1"/>
      <c r="DT4" s="1">
        <f>DS4*DP4</f>
        <v>0</v>
      </c>
      <c r="DU4" s="2"/>
      <c r="DV4" s="2"/>
      <c r="DW4" s="2">
        <v>2</v>
      </c>
      <c r="DX4" s="2"/>
      <c r="DY4" s="3">
        <f>DX4*DW4</f>
        <v>0</v>
      </c>
      <c r="DZ4" s="2"/>
      <c r="EA4" s="2">
        <f>DZ4*DW4</f>
        <v>0</v>
      </c>
      <c r="EB4" s="1"/>
      <c r="EC4" s="1"/>
      <c r="ED4" s="1">
        <v>2</v>
      </c>
      <c r="EE4" s="1"/>
      <c r="EF4" s="10">
        <f>EE4*ED4</f>
        <v>0</v>
      </c>
      <c r="EG4" s="1"/>
      <c r="EH4" s="1">
        <f>EG4*ED4</f>
        <v>0</v>
      </c>
      <c r="EI4" s="2"/>
      <c r="EJ4" s="2"/>
      <c r="EK4" s="2">
        <v>2</v>
      </c>
      <c r="EL4" s="2"/>
      <c r="EM4" s="3">
        <f>EL4*EK4</f>
        <v>0</v>
      </c>
      <c r="EN4" s="2"/>
      <c r="EO4" s="2">
        <f>EN4*EK4</f>
        <v>0</v>
      </c>
      <c r="EP4" s="1"/>
      <c r="EQ4" s="1"/>
      <c r="ER4" s="1">
        <v>2</v>
      </c>
      <c r="ES4" s="1"/>
      <c r="ET4" s="10">
        <f>ES4*ER4</f>
        <v>0</v>
      </c>
      <c r="EU4" s="1"/>
      <c r="EV4" s="1">
        <f>EU4*ER4</f>
        <v>0</v>
      </c>
      <c r="EW4" s="2"/>
      <c r="EX4" s="2"/>
      <c r="EY4" s="2">
        <v>2</v>
      </c>
      <c r="EZ4" s="2"/>
      <c r="FA4" s="3">
        <f>EZ4*EY4</f>
        <v>0</v>
      </c>
      <c r="FB4" s="2"/>
      <c r="FC4" s="2">
        <f>FB4*EY4</f>
        <v>0</v>
      </c>
      <c r="FD4" s="1"/>
      <c r="FE4" s="1"/>
      <c r="FF4" s="1">
        <v>2</v>
      </c>
      <c r="FG4" s="1"/>
      <c r="FH4" s="10">
        <f>FG4*FF4</f>
        <v>0</v>
      </c>
      <c r="FI4" s="1"/>
      <c r="FJ4" s="1">
        <f>FI4*FF4</f>
        <v>0</v>
      </c>
      <c r="FK4" s="2"/>
      <c r="FL4" s="2"/>
      <c r="FM4" s="2">
        <v>2</v>
      </c>
      <c r="FN4" s="2"/>
      <c r="FO4" s="3">
        <f>FN4*FM4</f>
        <v>0</v>
      </c>
      <c r="FP4" s="2"/>
      <c r="FQ4" s="2">
        <f>FP4*FM4</f>
        <v>0</v>
      </c>
      <c r="FR4" s="1"/>
      <c r="FS4" s="1"/>
      <c r="FT4" s="1">
        <v>2</v>
      </c>
      <c r="FU4" s="1"/>
      <c r="FV4" s="10">
        <f>FU4*FT4</f>
        <v>0</v>
      </c>
      <c r="FW4" s="1"/>
      <c r="FX4" s="1">
        <f>FW4*FT4</f>
        <v>0</v>
      </c>
      <c r="FY4" s="2"/>
      <c r="FZ4" s="2"/>
      <c r="GA4" s="2">
        <v>2</v>
      </c>
      <c r="GB4" s="2"/>
      <c r="GC4" s="3">
        <f>GB4*GA4</f>
        <v>0</v>
      </c>
      <c r="GD4" s="2"/>
      <c r="GE4" s="2">
        <f>GD4*GA4</f>
        <v>0</v>
      </c>
      <c r="GF4" s="1"/>
      <c r="GG4" s="1"/>
      <c r="GH4" s="1">
        <v>2</v>
      </c>
      <c r="GI4" s="1"/>
      <c r="GJ4" s="10">
        <f>GI4*GH4</f>
        <v>0</v>
      </c>
      <c r="GK4" s="1"/>
      <c r="GL4" s="1">
        <f>GK4*GH4</f>
        <v>0</v>
      </c>
      <c r="GM4" s="2"/>
      <c r="GN4" s="2"/>
      <c r="GO4" s="2">
        <v>2</v>
      </c>
      <c r="GP4" s="2"/>
      <c r="GQ4" s="3">
        <f>GP4*GO4</f>
        <v>0</v>
      </c>
      <c r="GR4" s="2"/>
      <c r="GS4" s="2">
        <f>GR4*GO4</f>
        <v>0</v>
      </c>
      <c r="GT4" s="1"/>
      <c r="GU4" s="1"/>
      <c r="GV4" s="1">
        <v>2</v>
      </c>
      <c r="GW4" s="1"/>
      <c r="GX4" s="10">
        <f>GW4*GV4</f>
        <v>0</v>
      </c>
      <c r="GY4" s="1"/>
      <c r="GZ4" s="1">
        <f>GY4*GV4</f>
        <v>0</v>
      </c>
      <c r="HA4" s="2"/>
      <c r="HB4" s="2"/>
      <c r="HC4" s="2">
        <v>2</v>
      </c>
      <c r="HD4" s="2"/>
      <c r="HE4" s="3">
        <f>HD4*HC4</f>
        <v>0</v>
      </c>
      <c r="HF4" s="2"/>
      <c r="HG4" s="2">
        <f>HF4*HC4</f>
        <v>0</v>
      </c>
      <c r="HH4" s="1"/>
      <c r="HI4" s="1"/>
      <c r="HJ4" s="1">
        <v>2</v>
      </c>
      <c r="HK4" s="1"/>
      <c r="HL4" s="10">
        <f>HK4*HJ4</f>
        <v>0</v>
      </c>
      <c r="HM4" s="1"/>
      <c r="HN4" s="1">
        <f>HM4*HJ4</f>
        <v>0</v>
      </c>
      <c r="HO4" s="2"/>
      <c r="HP4" s="2"/>
      <c r="HQ4" s="2">
        <v>2</v>
      </c>
      <c r="HR4" s="2"/>
      <c r="HS4" s="3">
        <f>HR4*HQ4</f>
        <v>0</v>
      </c>
      <c r="HT4" s="2"/>
      <c r="HU4" s="2">
        <f>HT4*HQ4</f>
        <v>0</v>
      </c>
      <c r="HV4" s="1"/>
      <c r="HW4" s="1"/>
      <c r="HX4" s="1">
        <v>2</v>
      </c>
      <c r="HY4" s="1"/>
      <c r="HZ4" s="10">
        <f>HY4*HX4</f>
        <v>0</v>
      </c>
      <c r="IA4" s="1"/>
      <c r="IB4" s="1">
        <f>IA4*HX4</f>
        <v>0</v>
      </c>
      <c r="IC4" s="2"/>
      <c r="ID4" s="2"/>
      <c r="IE4" s="2">
        <v>2</v>
      </c>
      <c r="IF4" s="2"/>
      <c r="IG4" s="3">
        <f>IF4*IE4</f>
        <v>0</v>
      </c>
      <c r="IH4" s="2"/>
      <c r="II4" s="2">
        <f>IH4*IE4</f>
        <v>0</v>
      </c>
      <c r="IJ4" s="1"/>
      <c r="IK4" s="1"/>
      <c r="IL4" s="1">
        <v>2</v>
      </c>
      <c r="IM4" s="1"/>
      <c r="IN4" s="10">
        <f>IM4*IL4</f>
        <v>0</v>
      </c>
      <c r="IO4" s="1"/>
      <c r="IP4" s="1">
        <f>IO4*IL4</f>
        <v>0</v>
      </c>
    </row>
    <row r="5" spans="1:250" ht="22.5" customHeight="1">
      <c r="A5" s="69" t="s">
        <v>66</v>
      </c>
      <c r="B5" s="71"/>
      <c r="C5" s="72" t="s">
        <v>67</v>
      </c>
      <c r="D5" s="72" t="s">
        <v>68</v>
      </c>
      <c r="E5" s="72" t="s">
        <v>69</v>
      </c>
      <c r="F5" s="1"/>
      <c r="G5" s="1"/>
      <c r="H5" s="1">
        <v>2</v>
      </c>
      <c r="I5" s="68"/>
      <c r="J5" s="10">
        <f aca="true" t="shared" si="1" ref="J5:J13">I5*H5</f>
        <v>0</v>
      </c>
      <c r="K5" s="68"/>
      <c r="L5" s="1">
        <f t="shared" si="0"/>
        <v>0</v>
      </c>
      <c r="M5" s="2"/>
      <c r="N5" s="2"/>
      <c r="O5" s="2">
        <v>2</v>
      </c>
      <c r="P5" s="72"/>
      <c r="Q5" s="3">
        <f aca="true" t="shared" si="2" ref="Q5:Q13">P5*O5</f>
        <v>0</v>
      </c>
      <c r="R5" s="72"/>
      <c r="S5" s="2">
        <f aca="true" t="shared" si="3" ref="S5:S13">R5*O5</f>
        <v>0</v>
      </c>
      <c r="T5" s="1"/>
      <c r="U5" s="1"/>
      <c r="V5" s="1">
        <v>2</v>
      </c>
      <c r="W5" s="1"/>
      <c r="X5" s="10">
        <f aca="true" t="shared" si="4" ref="X5:X13">W5*V5</f>
        <v>0</v>
      </c>
      <c r="Y5" s="1"/>
      <c r="Z5" s="1">
        <f aca="true" t="shared" si="5" ref="Z5:Z13">Y5*V5</f>
        <v>0</v>
      </c>
      <c r="AA5" s="2"/>
      <c r="AB5" s="2"/>
      <c r="AC5" s="2">
        <v>2</v>
      </c>
      <c r="AD5" s="2"/>
      <c r="AE5" s="3">
        <f aca="true" t="shared" si="6" ref="AE5:AE13">AD5*AC5</f>
        <v>0</v>
      </c>
      <c r="AF5" s="2"/>
      <c r="AG5" s="2">
        <f aca="true" t="shared" si="7" ref="AG5:AG13">AF5*AC5</f>
        <v>0</v>
      </c>
      <c r="AH5" s="1"/>
      <c r="AI5" s="1"/>
      <c r="AJ5" s="1">
        <v>2</v>
      </c>
      <c r="AK5" s="1"/>
      <c r="AL5" s="10">
        <f aca="true" t="shared" si="8" ref="AL5:AL13">AK5*AJ5</f>
        <v>0</v>
      </c>
      <c r="AM5" s="1"/>
      <c r="AN5" s="1">
        <f aca="true" t="shared" si="9" ref="AN5:AN13">AM5*AJ5</f>
        <v>0</v>
      </c>
      <c r="AO5" s="2"/>
      <c r="AP5" s="2"/>
      <c r="AQ5" s="2">
        <v>2</v>
      </c>
      <c r="AR5" s="2"/>
      <c r="AS5" s="3">
        <f aca="true" t="shared" si="10" ref="AS5:AS13">AR5*AQ5</f>
        <v>0</v>
      </c>
      <c r="AT5" s="2"/>
      <c r="AU5" s="2">
        <f aca="true" t="shared" si="11" ref="AU5:AU13">AT5*AQ5</f>
        <v>0</v>
      </c>
      <c r="AV5" s="1"/>
      <c r="AW5" s="1"/>
      <c r="AX5" s="1">
        <v>2</v>
      </c>
      <c r="AY5" s="1"/>
      <c r="AZ5" s="10">
        <f aca="true" t="shared" si="12" ref="AZ5:AZ13">AY5*AX5</f>
        <v>0</v>
      </c>
      <c r="BA5" s="1"/>
      <c r="BB5" s="1">
        <f aca="true" t="shared" si="13" ref="BB5:BB13">BA5*AX5</f>
        <v>0</v>
      </c>
      <c r="BC5" s="2"/>
      <c r="BD5" s="2"/>
      <c r="BE5" s="2">
        <v>2</v>
      </c>
      <c r="BF5" s="2"/>
      <c r="BG5" s="3">
        <f aca="true" t="shared" si="14" ref="BG5:BG13">BF5*BE5</f>
        <v>0</v>
      </c>
      <c r="BH5" s="2"/>
      <c r="BI5" s="2">
        <f aca="true" t="shared" si="15" ref="BI5:BI13">BH5*BE5</f>
        <v>0</v>
      </c>
      <c r="BJ5" s="1"/>
      <c r="BK5" s="1"/>
      <c r="BL5" s="1">
        <v>2</v>
      </c>
      <c r="BM5" s="1"/>
      <c r="BN5" s="10">
        <f aca="true" t="shared" si="16" ref="BN5:BN13">BM5*BL5</f>
        <v>0</v>
      </c>
      <c r="BO5" s="1"/>
      <c r="BP5" s="1">
        <f aca="true" t="shared" si="17" ref="BP5:BP13">BO5*BL5</f>
        <v>0</v>
      </c>
      <c r="BQ5" s="2"/>
      <c r="BR5" s="2"/>
      <c r="BS5" s="2">
        <v>2</v>
      </c>
      <c r="BT5" s="2"/>
      <c r="BU5" s="3">
        <f aca="true" t="shared" si="18" ref="BU5:BU13">BT5*BS5</f>
        <v>0</v>
      </c>
      <c r="BV5" s="2"/>
      <c r="BW5" s="2">
        <f aca="true" t="shared" si="19" ref="BW5:BW13">BV5*BS5</f>
        <v>0</v>
      </c>
      <c r="BX5" s="1"/>
      <c r="BY5" s="1"/>
      <c r="BZ5" s="1">
        <v>2</v>
      </c>
      <c r="CA5" s="1"/>
      <c r="CB5" s="10">
        <f aca="true" t="shared" si="20" ref="CB5:CB13">CA5*BZ5</f>
        <v>0</v>
      </c>
      <c r="CC5" s="1"/>
      <c r="CD5" s="1">
        <f aca="true" t="shared" si="21" ref="CD5:CD13">CC5*BZ5</f>
        <v>0</v>
      </c>
      <c r="CE5" s="2"/>
      <c r="CF5" s="2"/>
      <c r="CG5" s="2">
        <v>2</v>
      </c>
      <c r="CH5" s="2"/>
      <c r="CI5" s="3">
        <f aca="true" t="shared" si="22" ref="CI5:CI13">CH5*CG5</f>
        <v>0</v>
      </c>
      <c r="CJ5" s="2"/>
      <c r="CK5" s="2">
        <f aca="true" t="shared" si="23" ref="CK5:CK13">CJ5*CG5</f>
        <v>0</v>
      </c>
      <c r="CL5" s="1"/>
      <c r="CM5" s="1"/>
      <c r="CN5" s="1">
        <v>2</v>
      </c>
      <c r="CO5" s="1"/>
      <c r="CP5" s="10">
        <f aca="true" t="shared" si="24" ref="CP5:CP13">CO5*CN5</f>
        <v>0</v>
      </c>
      <c r="CQ5" s="1"/>
      <c r="CR5" s="1">
        <f aca="true" t="shared" si="25" ref="CR5:CR13">CQ5*CN5</f>
        <v>0</v>
      </c>
      <c r="CS5" s="2"/>
      <c r="CT5" s="2"/>
      <c r="CU5" s="2">
        <v>2</v>
      </c>
      <c r="CV5" s="2"/>
      <c r="CW5" s="3">
        <f aca="true" t="shared" si="26" ref="CW5:CW13">CV5*CU5</f>
        <v>0</v>
      </c>
      <c r="CX5" s="2"/>
      <c r="CY5" s="2">
        <f aca="true" t="shared" si="27" ref="CY5:CY13">CX5*CU5</f>
        <v>0</v>
      </c>
      <c r="CZ5" s="1"/>
      <c r="DA5" s="1"/>
      <c r="DB5" s="1">
        <v>2</v>
      </c>
      <c r="DC5" s="1"/>
      <c r="DD5" s="10">
        <f aca="true" t="shared" si="28" ref="DD5:DD13">DC5*DB5</f>
        <v>0</v>
      </c>
      <c r="DE5" s="1"/>
      <c r="DF5" s="1">
        <f aca="true" t="shared" si="29" ref="DF5:DF13">DE5*DB5</f>
        <v>0</v>
      </c>
      <c r="DG5" s="2"/>
      <c r="DH5" s="2"/>
      <c r="DI5" s="2">
        <v>2</v>
      </c>
      <c r="DJ5" s="2"/>
      <c r="DK5" s="3">
        <f aca="true" t="shared" si="30" ref="DK5:DK13">DJ5*DI5</f>
        <v>0</v>
      </c>
      <c r="DL5" s="2"/>
      <c r="DM5" s="2">
        <f aca="true" t="shared" si="31" ref="DM5:DM13">DL5*DI5</f>
        <v>0</v>
      </c>
      <c r="DN5" s="1"/>
      <c r="DO5" s="1"/>
      <c r="DP5" s="1">
        <v>2</v>
      </c>
      <c r="DQ5" s="1"/>
      <c r="DR5" s="10">
        <f aca="true" t="shared" si="32" ref="DR5:DR13">DQ5*DP5</f>
        <v>0</v>
      </c>
      <c r="DS5" s="1"/>
      <c r="DT5" s="1">
        <f aca="true" t="shared" si="33" ref="DT5:DT13">DS5*DP5</f>
        <v>0</v>
      </c>
      <c r="DU5" s="2"/>
      <c r="DV5" s="2"/>
      <c r="DW5" s="2">
        <v>2</v>
      </c>
      <c r="DX5" s="2"/>
      <c r="DY5" s="3">
        <f aca="true" t="shared" si="34" ref="DY5:DY13">DX5*DW5</f>
        <v>0</v>
      </c>
      <c r="DZ5" s="2"/>
      <c r="EA5" s="2">
        <f aca="true" t="shared" si="35" ref="EA5:EA13">DZ5*DW5</f>
        <v>0</v>
      </c>
      <c r="EB5" s="1"/>
      <c r="EC5" s="1"/>
      <c r="ED5" s="1">
        <v>2</v>
      </c>
      <c r="EE5" s="1"/>
      <c r="EF5" s="10">
        <f aca="true" t="shared" si="36" ref="EF5:EF13">EE5*ED5</f>
        <v>0</v>
      </c>
      <c r="EG5" s="1"/>
      <c r="EH5" s="1">
        <f aca="true" t="shared" si="37" ref="EH5:EH13">EG5*ED5</f>
        <v>0</v>
      </c>
      <c r="EI5" s="2"/>
      <c r="EJ5" s="2"/>
      <c r="EK5" s="2">
        <v>2</v>
      </c>
      <c r="EL5" s="2"/>
      <c r="EM5" s="3">
        <f aca="true" t="shared" si="38" ref="EM5:EM13">EL5*EK5</f>
        <v>0</v>
      </c>
      <c r="EN5" s="2"/>
      <c r="EO5" s="2">
        <f aca="true" t="shared" si="39" ref="EO5:EO13">EN5*EK5</f>
        <v>0</v>
      </c>
      <c r="EP5" s="1"/>
      <c r="EQ5" s="1"/>
      <c r="ER5" s="1">
        <v>2</v>
      </c>
      <c r="ES5" s="1"/>
      <c r="ET5" s="10">
        <f aca="true" t="shared" si="40" ref="ET5:ET13">ES5*ER5</f>
        <v>0</v>
      </c>
      <c r="EU5" s="1"/>
      <c r="EV5" s="1">
        <f aca="true" t="shared" si="41" ref="EV5:EV13">EU5*ER5</f>
        <v>0</v>
      </c>
      <c r="EW5" s="2"/>
      <c r="EX5" s="2"/>
      <c r="EY5" s="2">
        <v>2</v>
      </c>
      <c r="EZ5" s="2"/>
      <c r="FA5" s="3">
        <f aca="true" t="shared" si="42" ref="FA5:FA13">EZ5*EY5</f>
        <v>0</v>
      </c>
      <c r="FB5" s="2"/>
      <c r="FC5" s="2">
        <f aca="true" t="shared" si="43" ref="FC5:FC13">FB5*EY5</f>
        <v>0</v>
      </c>
      <c r="FD5" s="1"/>
      <c r="FE5" s="1"/>
      <c r="FF5" s="1">
        <v>2</v>
      </c>
      <c r="FG5" s="1"/>
      <c r="FH5" s="10">
        <f aca="true" t="shared" si="44" ref="FH5:FH13">FG5*FF5</f>
        <v>0</v>
      </c>
      <c r="FI5" s="1"/>
      <c r="FJ5" s="1">
        <f aca="true" t="shared" si="45" ref="FJ5:FJ13">FI5*FF5</f>
        <v>0</v>
      </c>
      <c r="FK5" s="2"/>
      <c r="FL5" s="2"/>
      <c r="FM5" s="2">
        <v>2</v>
      </c>
      <c r="FN5" s="2"/>
      <c r="FO5" s="3">
        <f aca="true" t="shared" si="46" ref="FO5:FO13">FN5*FM5</f>
        <v>0</v>
      </c>
      <c r="FP5" s="2"/>
      <c r="FQ5" s="2">
        <f aca="true" t="shared" si="47" ref="FQ5:FQ13">FP5*FM5</f>
        <v>0</v>
      </c>
      <c r="FR5" s="1"/>
      <c r="FS5" s="1"/>
      <c r="FT5" s="1">
        <v>2</v>
      </c>
      <c r="FU5" s="1"/>
      <c r="FV5" s="10">
        <f aca="true" t="shared" si="48" ref="FV5:FV13">FU5*FT5</f>
        <v>0</v>
      </c>
      <c r="FW5" s="1"/>
      <c r="FX5" s="1">
        <f aca="true" t="shared" si="49" ref="FX5:FX13">FW5*FT5</f>
        <v>0</v>
      </c>
      <c r="FY5" s="2"/>
      <c r="FZ5" s="2"/>
      <c r="GA5" s="2">
        <v>2</v>
      </c>
      <c r="GB5" s="2"/>
      <c r="GC5" s="3">
        <f aca="true" t="shared" si="50" ref="GC5:GC13">GB5*GA5</f>
        <v>0</v>
      </c>
      <c r="GD5" s="2"/>
      <c r="GE5" s="2">
        <f aca="true" t="shared" si="51" ref="GE5:GE13">GD5*GA5</f>
        <v>0</v>
      </c>
      <c r="GF5" s="1"/>
      <c r="GG5" s="1"/>
      <c r="GH5" s="1">
        <v>2</v>
      </c>
      <c r="GI5" s="1"/>
      <c r="GJ5" s="10">
        <f aca="true" t="shared" si="52" ref="GJ5:GJ13">GI5*GH5</f>
        <v>0</v>
      </c>
      <c r="GK5" s="1"/>
      <c r="GL5" s="1">
        <f aca="true" t="shared" si="53" ref="GL5:GL13">GK5*GH5</f>
        <v>0</v>
      </c>
      <c r="GM5" s="2"/>
      <c r="GN5" s="2"/>
      <c r="GO5" s="2">
        <v>2</v>
      </c>
      <c r="GP5" s="2"/>
      <c r="GQ5" s="3">
        <f aca="true" t="shared" si="54" ref="GQ5:GQ13">GP5*GO5</f>
        <v>0</v>
      </c>
      <c r="GR5" s="2"/>
      <c r="GS5" s="2">
        <f aca="true" t="shared" si="55" ref="GS5:GS13">GR5*GO5</f>
        <v>0</v>
      </c>
      <c r="GT5" s="1"/>
      <c r="GU5" s="1"/>
      <c r="GV5" s="1">
        <v>2</v>
      </c>
      <c r="GW5" s="1"/>
      <c r="GX5" s="10">
        <f aca="true" t="shared" si="56" ref="GX5:GX13">GW5*GV5</f>
        <v>0</v>
      </c>
      <c r="GY5" s="1"/>
      <c r="GZ5" s="1">
        <f aca="true" t="shared" si="57" ref="GZ5:GZ13">GY5*GV5</f>
        <v>0</v>
      </c>
      <c r="HA5" s="2"/>
      <c r="HB5" s="2"/>
      <c r="HC5" s="2">
        <v>2</v>
      </c>
      <c r="HD5" s="2"/>
      <c r="HE5" s="3">
        <f aca="true" t="shared" si="58" ref="HE5:HE13">HD5*HC5</f>
        <v>0</v>
      </c>
      <c r="HF5" s="2"/>
      <c r="HG5" s="2">
        <f aca="true" t="shared" si="59" ref="HG5:HG13">HF5*HC5</f>
        <v>0</v>
      </c>
      <c r="HH5" s="1"/>
      <c r="HI5" s="1"/>
      <c r="HJ5" s="1">
        <v>2</v>
      </c>
      <c r="HK5" s="1"/>
      <c r="HL5" s="10">
        <f aca="true" t="shared" si="60" ref="HL5:HL13">HK5*HJ5</f>
        <v>0</v>
      </c>
      <c r="HM5" s="1"/>
      <c r="HN5" s="1">
        <f aca="true" t="shared" si="61" ref="HN5:HN13">HM5*HJ5</f>
        <v>0</v>
      </c>
      <c r="HO5" s="2"/>
      <c r="HP5" s="2"/>
      <c r="HQ5" s="2">
        <v>2</v>
      </c>
      <c r="HR5" s="2"/>
      <c r="HS5" s="3">
        <f aca="true" t="shared" si="62" ref="HS5:HS13">HR5*HQ5</f>
        <v>0</v>
      </c>
      <c r="HT5" s="2"/>
      <c r="HU5" s="2">
        <f aca="true" t="shared" si="63" ref="HU5:HU13">HT5*HQ5</f>
        <v>0</v>
      </c>
      <c r="HV5" s="1"/>
      <c r="HW5" s="1"/>
      <c r="HX5" s="1">
        <v>2</v>
      </c>
      <c r="HY5" s="1"/>
      <c r="HZ5" s="10">
        <f aca="true" t="shared" si="64" ref="HZ5:HZ13">HY5*HX5</f>
        <v>0</v>
      </c>
      <c r="IA5" s="1"/>
      <c r="IB5" s="1">
        <f aca="true" t="shared" si="65" ref="IB5:IB13">IA5*HX5</f>
        <v>0</v>
      </c>
      <c r="IC5" s="2"/>
      <c r="ID5" s="2"/>
      <c r="IE5" s="2">
        <v>2</v>
      </c>
      <c r="IF5" s="2"/>
      <c r="IG5" s="3">
        <f aca="true" t="shared" si="66" ref="IG5:IG13">IF5*IE5</f>
        <v>0</v>
      </c>
      <c r="IH5" s="2"/>
      <c r="II5" s="2">
        <f aca="true" t="shared" si="67" ref="II5:II13">IH5*IE5</f>
        <v>0</v>
      </c>
      <c r="IJ5" s="1"/>
      <c r="IK5" s="1"/>
      <c r="IL5" s="1">
        <v>2</v>
      </c>
      <c r="IM5" s="1"/>
      <c r="IN5" s="10">
        <f aca="true" t="shared" si="68" ref="IN5:IN13">IM5*IL5</f>
        <v>0</v>
      </c>
      <c r="IO5" s="1"/>
      <c r="IP5" s="1">
        <f aca="true" t="shared" si="69" ref="IP5:IP13">IO5*IL5</f>
        <v>0</v>
      </c>
    </row>
    <row r="6" spans="1:250" ht="38.25" customHeight="1">
      <c r="A6" s="69" t="s">
        <v>70</v>
      </c>
      <c r="B6" s="71"/>
      <c r="C6" s="72" t="s">
        <v>5</v>
      </c>
      <c r="D6" s="72" t="s">
        <v>71</v>
      </c>
      <c r="E6" s="72" t="s">
        <v>6</v>
      </c>
      <c r="F6" s="1"/>
      <c r="G6" s="1"/>
      <c r="H6" s="1">
        <v>2</v>
      </c>
      <c r="I6" s="68"/>
      <c r="J6" s="10">
        <f t="shared" si="1"/>
        <v>0</v>
      </c>
      <c r="K6" s="68"/>
      <c r="L6" s="1">
        <f t="shared" si="0"/>
        <v>0</v>
      </c>
      <c r="M6" s="2"/>
      <c r="N6" s="2"/>
      <c r="O6" s="2">
        <v>2</v>
      </c>
      <c r="P6" s="72"/>
      <c r="Q6" s="3">
        <f t="shared" si="2"/>
        <v>0</v>
      </c>
      <c r="R6" s="72"/>
      <c r="S6" s="2">
        <f t="shared" si="3"/>
        <v>0</v>
      </c>
      <c r="T6" s="1"/>
      <c r="U6" s="1"/>
      <c r="V6" s="1">
        <v>2</v>
      </c>
      <c r="W6" s="1"/>
      <c r="X6" s="10">
        <f t="shared" si="4"/>
        <v>0</v>
      </c>
      <c r="Y6" s="1"/>
      <c r="Z6" s="1">
        <f t="shared" si="5"/>
        <v>0</v>
      </c>
      <c r="AA6" s="2"/>
      <c r="AB6" s="2"/>
      <c r="AC6" s="2">
        <v>2</v>
      </c>
      <c r="AD6" s="2"/>
      <c r="AE6" s="3">
        <f t="shared" si="6"/>
        <v>0</v>
      </c>
      <c r="AF6" s="2"/>
      <c r="AG6" s="2">
        <f t="shared" si="7"/>
        <v>0</v>
      </c>
      <c r="AH6" s="1"/>
      <c r="AI6" s="1"/>
      <c r="AJ6" s="1">
        <v>2</v>
      </c>
      <c r="AK6" s="1"/>
      <c r="AL6" s="10">
        <f t="shared" si="8"/>
        <v>0</v>
      </c>
      <c r="AM6" s="1"/>
      <c r="AN6" s="1">
        <f t="shared" si="9"/>
        <v>0</v>
      </c>
      <c r="AO6" s="2"/>
      <c r="AP6" s="2"/>
      <c r="AQ6" s="2">
        <v>2</v>
      </c>
      <c r="AR6" s="2"/>
      <c r="AS6" s="3">
        <f t="shared" si="10"/>
        <v>0</v>
      </c>
      <c r="AT6" s="2"/>
      <c r="AU6" s="2">
        <f t="shared" si="11"/>
        <v>0</v>
      </c>
      <c r="AV6" s="1"/>
      <c r="AW6" s="1"/>
      <c r="AX6" s="1">
        <v>2</v>
      </c>
      <c r="AY6" s="1"/>
      <c r="AZ6" s="10">
        <f t="shared" si="12"/>
        <v>0</v>
      </c>
      <c r="BA6" s="1"/>
      <c r="BB6" s="1">
        <f t="shared" si="13"/>
        <v>0</v>
      </c>
      <c r="BC6" s="2"/>
      <c r="BD6" s="2"/>
      <c r="BE6" s="2">
        <v>2</v>
      </c>
      <c r="BF6" s="2"/>
      <c r="BG6" s="3">
        <f t="shared" si="14"/>
        <v>0</v>
      </c>
      <c r="BH6" s="2"/>
      <c r="BI6" s="2">
        <f t="shared" si="15"/>
        <v>0</v>
      </c>
      <c r="BJ6" s="1"/>
      <c r="BK6" s="1"/>
      <c r="BL6" s="1">
        <v>2</v>
      </c>
      <c r="BM6" s="1"/>
      <c r="BN6" s="10">
        <f t="shared" si="16"/>
        <v>0</v>
      </c>
      <c r="BO6" s="1"/>
      <c r="BP6" s="1">
        <f t="shared" si="17"/>
        <v>0</v>
      </c>
      <c r="BQ6" s="2"/>
      <c r="BR6" s="2"/>
      <c r="BS6" s="2">
        <v>2</v>
      </c>
      <c r="BT6" s="2"/>
      <c r="BU6" s="3">
        <f t="shared" si="18"/>
        <v>0</v>
      </c>
      <c r="BV6" s="2"/>
      <c r="BW6" s="2">
        <f t="shared" si="19"/>
        <v>0</v>
      </c>
      <c r="BX6" s="1"/>
      <c r="BY6" s="1"/>
      <c r="BZ6" s="1">
        <v>2</v>
      </c>
      <c r="CA6" s="1"/>
      <c r="CB6" s="10">
        <f t="shared" si="20"/>
        <v>0</v>
      </c>
      <c r="CC6" s="1"/>
      <c r="CD6" s="1">
        <f t="shared" si="21"/>
        <v>0</v>
      </c>
      <c r="CE6" s="2"/>
      <c r="CF6" s="2"/>
      <c r="CG6" s="2">
        <v>2</v>
      </c>
      <c r="CH6" s="2"/>
      <c r="CI6" s="3">
        <f t="shared" si="22"/>
        <v>0</v>
      </c>
      <c r="CJ6" s="2"/>
      <c r="CK6" s="2">
        <f t="shared" si="23"/>
        <v>0</v>
      </c>
      <c r="CL6" s="1"/>
      <c r="CM6" s="1"/>
      <c r="CN6" s="1">
        <v>2</v>
      </c>
      <c r="CO6" s="1"/>
      <c r="CP6" s="10">
        <f t="shared" si="24"/>
        <v>0</v>
      </c>
      <c r="CQ6" s="1"/>
      <c r="CR6" s="1">
        <f t="shared" si="25"/>
        <v>0</v>
      </c>
      <c r="CS6" s="2"/>
      <c r="CT6" s="2"/>
      <c r="CU6" s="2">
        <v>2</v>
      </c>
      <c r="CV6" s="2"/>
      <c r="CW6" s="3">
        <f t="shared" si="26"/>
        <v>0</v>
      </c>
      <c r="CX6" s="2"/>
      <c r="CY6" s="2">
        <f t="shared" si="27"/>
        <v>0</v>
      </c>
      <c r="CZ6" s="1"/>
      <c r="DA6" s="1"/>
      <c r="DB6" s="1">
        <v>2</v>
      </c>
      <c r="DC6" s="1"/>
      <c r="DD6" s="10">
        <f t="shared" si="28"/>
        <v>0</v>
      </c>
      <c r="DE6" s="1"/>
      <c r="DF6" s="1">
        <f t="shared" si="29"/>
        <v>0</v>
      </c>
      <c r="DG6" s="2"/>
      <c r="DH6" s="2"/>
      <c r="DI6" s="2">
        <v>2</v>
      </c>
      <c r="DJ6" s="2"/>
      <c r="DK6" s="3">
        <f t="shared" si="30"/>
        <v>0</v>
      </c>
      <c r="DL6" s="2"/>
      <c r="DM6" s="2">
        <f t="shared" si="31"/>
        <v>0</v>
      </c>
      <c r="DN6" s="1"/>
      <c r="DO6" s="1"/>
      <c r="DP6" s="1">
        <v>2</v>
      </c>
      <c r="DQ6" s="1"/>
      <c r="DR6" s="10">
        <f t="shared" si="32"/>
        <v>0</v>
      </c>
      <c r="DS6" s="1"/>
      <c r="DT6" s="1">
        <f t="shared" si="33"/>
        <v>0</v>
      </c>
      <c r="DU6" s="2"/>
      <c r="DV6" s="2"/>
      <c r="DW6" s="2">
        <v>2</v>
      </c>
      <c r="DX6" s="2"/>
      <c r="DY6" s="3">
        <f t="shared" si="34"/>
        <v>0</v>
      </c>
      <c r="DZ6" s="2"/>
      <c r="EA6" s="2">
        <f t="shared" si="35"/>
        <v>0</v>
      </c>
      <c r="EB6" s="1"/>
      <c r="EC6" s="1"/>
      <c r="ED6" s="1">
        <v>2</v>
      </c>
      <c r="EE6" s="1"/>
      <c r="EF6" s="10">
        <f t="shared" si="36"/>
        <v>0</v>
      </c>
      <c r="EG6" s="1"/>
      <c r="EH6" s="1">
        <f t="shared" si="37"/>
        <v>0</v>
      </c>
      <c r="EI6" s="2"/>
      <c r="EJ6" s="2"/>
      <c r="EK6" s="2">
        <v>2</v>
      </c>
      <c r="EL6" s="2"/>
      <c r="EM6" s="3">
        <f t="shared" si="38"/>
        <v>0</v>
      </c>
      <c r="EN6" s="2"/>
      <c r="EO6" s="2">
        <f t="shared" si="39"/>
        <v>0</v>
      </c>
      <c r="EP6" s="1"/>
      <c r="EQ6" s="1"/>
      <c r="ER6" s="1">
        <v>2</v>
      </c>
      <c r="ES6" s="1"/>
      <c r="ET6" s="10">
        <f t="shared" si="40"/>
        <v>0</v>
      </c>
      <c r="EU6" s="1"/>
      <c r="EV6" s="1">
        <f t="shared" si="41"/>
        <v>0</v>
      </c>
      <c r="EW6" s="2"/>
      <c r="EX6" s="2"/>
      <c r="EY6" s="2">
        <v>2</v>
      </c>
      <c r="EZ6" s="2"/>
      <c r="FA6" s="3">
        <f t="shared" si="42"/>
        <v>0</v>
      </c>
      <c r="FB6" s="2"/>
      <c r="FC6" s="2">
        <f t="shared" si="43"/>
        <v>0</v>
      </c>
      <c r="FD6" s="1"/>
      <c r="FE6" s="1"/>
      <c r="FF6" s="1">
        <v>2</v>
      </c>
      <c r="FG6" s="1"/>
      <c r="FH6" s="10">
        <f t="shared" si="44"/>
        <v>0</v>
      </c>
      <c r="FI6" s="1"/>
      <c r="FJ6" s="1">
        <f t="shared" si="45"/>
        <v>0</v>
      </c>
      <c r="FK6" s="2"/>
      <c r="FL6" s="2"/>
      <c r="FM6" s="2">
        <v>2</v>
      </c>
      <c r="FN6" s="2"/>
      <c r="FO6" s="3">
        <f t="shared" si="46"/>
        <v>0</v>
      </c>
      <c r="FP6" s="2"/>
      <c r="FQ6" s="2">
        <f t="shared" si="47"/>
        <v>0</v>
      </c>
      <c r="FR6" s="1"/>
      <c r="FS6" s="1"/>
      <c r="FT6" s="1">
        <v>2</v>
      </c>
      <c r="FU6" s="1"/>
      <c r="FV6" s="10">
        <f t="shared" si="48"/>
        <v>0</v>
      </c>
      <c r="FW6" s="1"/>
      <c r="FX6" s="1">
        <f t="shared" si="49"/>
        <v>0</v>
      </c>
      <c r="FY6" s="2"/>
      <c r="FZ6" s="2"/>
      <c r="GA6" s="2">
        <v>2</v>
      </c>
      <c r="GB6" s="2"/>
      <c r="GC6" s="3">
        <f t="shared" si="50"/>
        <v>0</v>
      </c>
      <c r="GD6" s="2"/>
      <c r="GE6" s="2">
        <f t="shared" si="51"/>
        <v>0</v>
      </c>
      <c r="GF6" s="1"/>
      <c r="GG6" s="1"/>
      <c r="GH6" s="1">
        <v>2</v>
      </c>
      <c r="GI6" s="1"/>
      <c r="GJ6" s="10">
        <f t="shared" si="52"/>
        <v>0</v>
      </c>
      <c r="GK6" s="1"/>
      <c r="GL6" s="1">
        <f t="shared" si="53"/>
        <v>0</v>
      </c>
      <c r="GM6" s="2"/>
      <c r="GN6" s="2"/>
      <c r="GO6" s="2">
        <v>2</v>
      </c>
      <c r="GP6" s="2"/>
      <c r="GQ6" s="3">
        <f t="shared" si="54"/>
        <v>0</v>
      </c>
      <c r="GR6" s="2"/>
      <c r="GS6" s="2">
        <f t="shared" si="55"/>
        <v>0</v>
      </c>
      <c r="GT6" s="1"/>
      <c r="GU6" s="1"/>
      <c r="GV6" s="1">
        <v>2</v>
      </c>
      <c r="GW6" s="1"/>
      <c r="GX6" s="10">
        <f t="shared" si="56"/>
        <v>0</v>
      </c>
      <c r="GY6" s="1"/>
      <c r="GZ6" s="1">
        <f t="shared" si="57"/>
        <v>0</v>
      </c>
      <c r="HA6" s="2"/>
      <c r="HB6" s="2"/>
      <c r="HC6" s="2">
        <v>2</v>
      </c>
      <c r="HD6" s="2"/>
      <c r="HE6" s="3">
        <f t="shared" si="58"/>
        <v>0</v>
      </c>
      <c r="HF6" s="2"/>
      <c r="HG6" s="2">
        <f t="shared" si="59"/>
        <v>0</v>
      </c>
      <c r="HH6" s="1"/>
      <c r="HI6" s="1"/>
      <c r="HJ6" s="1">
        <v>2</v>
      </c>
      <c r="HK6" s="1"/>
      <c r="HL6" s="10">
        <f t="shared" si="60"/>
        <v>0</v>
      </c>
      <c r="HM6" s="1"/>
      <c r="HN6" s="1">
        <f t="shared" si="61"/>
        <v>0</v>
      </c>
      <c r="HO6" s="2"/>
      <c r="HP6" s="2"/>
      <c r="HQ6" s="2">
        <v>2</v>
      </c>
      <c r="HR6" s="2"/>
      <c r="HS6" s="3">
        <f t="shared" si="62"/>
        <v>0</v>
      </c>
      <c r="HT6" s="2"/>
      <c r="HU6" s="2">
        <f t="shared" si="63"/>
        <v>0</v>
      </c>
      <c r="HV6" s="1"/>
      <c r="HW6" s="1"/>
      <c r="HX6" s="1">
        <v>2</v>
      </c>
      <c r="HY6" s="1"/>
      <c r="HZ6" s="10">
        <f t="shared" si="64"/>
        <v>0</v>
      </c>
      <c r="IA6" s="1"/>
      <c r="IB6" s="1">
        <f t="shared" si="65"/>
        <v>0</v>
      </c>
      <c r="IC6" s="2"/>
      <c r="ID6" s="2"/>
      <c r="IE6" s="2">
        <v>2</v>
      </c>
      <c r="IF6" s="2"/>
      <c r="IG6" s="3">
        <f t="shared" si="66"/>
        <v>0</v>
      </c>
      <c r="IH6" s="2"/>
      <c r="II6" s="2">
        <f t="shared" si="67"/>
        <v>0</v>
      </c>
      <c r="IJ6" s="1"/>
      <c r="IK6" s="1"/>
      <c r="IL6" s="1">
        <v>2</v>
      </c>
      <c r="IM6" s="1"/>
      <c r="IN6" s="10">
        <f t="shared" si="68"/>
        <v>0</v>
      </c>
      <c r="IO6" s="1"/>
      <c r="IP6" s="1">
        <f t="shared" si="69"/>
        <v>0</v>
      </c>
    </row>
    <row r="7" spans="1:250" ht="30.75" customHeight="1">
      <c r="A7" s="69" t="s">
        <v>72</v>
      </c>
      <c r="B7" s="71"/>
      <c r="C7" s="72" t="s">
        <v>7</v>
      </c>
      <c r="D7" s="72" t="s">
        <v>73</v>
      </c>
      <c r="E7" s="72" t="s">
        <v>8</v>
      </c>
      <c r="F7" s="1"/>
      <c r="G7" s="1"/>
      <c r="H7" s="1">
        <v>2</v>
      </c>
      <c r="I7" s="68"/>
      <c r="J7" s="10">
        <f t="shared" si="1"/>
        <v>0</v>
      </c>
      <c r="K7" s="68"/>
      <c r="L7" s="1">
        <f t="shared" si="0"/>
        <v>0</v>
      </c>
      <c r="M7" s="2"/>
      <c r="N7" s="2"/>
      <c r="O7" s="2">
        <v>2</v>
      </c>
      <c r="P7" s="72"/>
      <c r="Q7" s="3">
        <f t="shared" si="2"/>
        <v>0</v>
      </c>
      <c r="R7" s="72"/>
      <c r="S7" s="2">
        <f t="shared" si="3"/>
        <v>0</v>
      </c>
      <c r="T7" s="1"/>
      <c r="U7" s="1"/>
      <c r="V7" s="1">
        <v>2</v>
      </c>
      <c r="W7" s="1"/>
      <c r="X7" s="10">
        <f t="shared" si="4"/>
        <v>0</v>
      </c>
      <c r="Y7" s="1"/>
      <c r="Z7" s="1">
        <f t="shared" si="5"/>
        <v>0</v>
      </c>
      <c r="AA7" s="2"/>
      <c r="AB7" s="2"/>
      <c r="AC7" s="2">
        <v>2</v>
      </c>
      <c r="AD7" s="2"/>
      <c r="AE7" s="3">
        <f t="shared" si="6"/>
        <v>0</v>
      </c>
      <c r="AF7" s="2"/>
      <c r="AG7" s="2">
        <f t="shared" si="7"/>
        <v>0</v>
      </c>
      <c r="AH7" s="1"/>
      <c r="AI7" s="1"/>
      <c r="AJ7" s="1">
        <v>2</v>
      </c>
      <c r="AK7" s="1"/>
      <c r="AL7" s="10">
        <f t="shared" si="8"/>
        <v>0</v>
      </c>
      <c r="AM7" s="1"/>
      <c r="AN7" s="1">
        <f t="shared" si="9"/>
        <v>0</v>
      </c>
      <c r="AO7" s="2"/>
      <c r="AP7" s="2"/>
      <c r="AQ7" s="2">
        <v>2</v>
      </c>
      <c r="AR7" s="2"/>
      <c r="AS7" s="3">
        <f t="shared" si="10"/>
        <v>0</v>
      </c>
      <c r="AT7" s="2"/>
      <c r="AU7" s="2">
        <f t="shared" si="11"/>
        <v>0</v>
      </c>
      <c r="AV7" s="1"/>
      <c r="AW7" s="1"/>
      <c r="AX7" s="1">
        <v>2</v>
      </c>
      <c r="AY7" s="1"/>
      <c r="AZ7" s="10">
        <f t="shared" si="12"/>
        <v>0</v>
      </c>
      <c r="BA7" s="1"/>
      <c r="BB7" s="1">
        <f t="shared" si="13"/>
        <v>0</v>
      </c>
      <c r="BC7" s="2"/>
      <c r="BD7" s="2"/>
      <c r="BE7" s="2">
        <v>2</v>
      </c>
      <c r="BF7" s="2"/>
      <c r="BG7" s="3">
        <f t="shared" si="14"/>
        <v>0</v>
      </c>
      <c r="BH7" s="2"/>
      <c r="BI7" s="2">
        <f t="shared" si="15"/>
        <v>0</v>
      </c>
      <c r="BJ7" s="1"/>
      <c r="BK7" s="1"/>
      <c r="BL7" s="1">
        <v>2</v>
      </c>
      <c r="BM7" s="1"/>
      <c r="BN7" s="10">
        <f t="shared" si="16"/>
        <v>0</v>
      </c>
      <c r="BO7" s="1"/>
      <c r="BP7" s="1">
        <f t="shared" si="17"/>
        <v>0</v>
      </c>
      <c r="BQ7" s="2"/>
      <c r="BR7" s="2"/>
      <c r="BS7" s="2">
        <v>2</v>
      </c>
      <c r="BT7" s="2"/>
      <c r="BU7" s="3">
        <f t="shared" si="18"/>
        <v>0</v>
      </c>
      <c r="BV7" s="2"/>
      <c r="BW7" s="2">
        <f t="shared" si="19"/>
        <v>0</v>
      </c>
      <c r="BX7" s="1"/>
      <c r="BY7" s="1"/>
      <c r="BZ7" s="1">
        <v>2</v>
      </c>
      <c r="CA7" s="1"/>
      <c r="CB7" s="10">
        <f t="shared" si="20"/>
        <v>0</v>
      </c>
      <c r="CC7" s="1"/>
      <c r="CD7" s="1">
        <f t="shared" si="21"/>
        <v>0</v>
      </c>
      <c r="CE7" s="2"/>
      <c r="CF7" s="2"/>
      <c r="CG7" s="2">
        <v>2</v>
      </c>
      <c r="CH7" s="2"/>
      <c r="CI7" s="3">
        <f t="shared" si="22"/>
        <v>0</v>
      </c>
      <c r="CJ7" s="2"/>
      <c r="CK7" s="2">
        <f t="shared" si="23"/>
        <v>0</v>
      </c>
      <c r="CL7" s="1"/>
      <c r="CM7" s="1"/>
      <c r="CN7" s="1">
        <v>2</v>
      </c>
      <c r="CO7" s="1"/>
      <c r="CP7" s="10">
        <f t="shared" si="24"/>
        <v>0</v>
      </c>
      <c r="CQ7" s="1"/>
      <c r="CR7" s="1">
        <f t="shared" si="25"/>
        <v>0</v>
      </c>
      <c r="CS7" s="2"/>
      <c r="CT7" s="2"/>
      <c r="CU7" s="2">
        <v>2</v>
      </c>
      <c r="CV7" s="2"/>
      <c r="CW7" s="3">
        <f t="shared" si="26"/>
        <v>0</v>
      </c>
      <c r="CX7" s="2"/>
      <c r="CY7" s="2">
        <f t="shared" si="27"/>
        <v>0</v>
      </c>
      <c r="CZ7" s="1"/>
      <c r="DA7" s="1"/>
      <c r="DB7" s="1">
        <v>2</v>
      </c>
      <c r="DC7" s="1"/>
      <c r="DD7" s="10">
        <f t="shared" si="28"/>
        <v>0</v>
      </c>
      <c r="DE7" s="1"/>
      <c r="DF7" s="1">
        <f t="shared" si="29"/>
        <v>0</v>
      </c>
      <c r="DG7" s="2"/>
      <c r="DH7" s="2"/>
      <c r="DI7" s="2">
        <v>2</v>
      </c>
      <c r="DJ7" s="2"/>
      <c r="DK7" s="3">
        <f t="shared" si="30"/>
        <v>0</v>
      </c>
      <c r="DL7" s="2"/>
      <c r="DM7" s="2">
        <f t="shared" si="31"/>
        <v>0</v>
      </c>
      <c r="DN7" s="1"/>
      <c r="DO7" s="1"/>
      <c r="DP7" s="1">
        <v>2</v>
      </c>
      <c r="DQ7" s="1"/>
      <c r="DR7" s="10">
        <f t="shared" si="32"/>
        <v>0</v>
      </c>
      <c r="DS7" s="1"/>
      <c r="DT7" s="1">
        <f t="shared" si="33"/>
        <v>0</v>
      </c>
      <c r="DU7" s="2"/>
      <c r="DV7" s="2"/>
      <c r="DW7" s="2">
        <v>2</v>
      </c>
      <c r="DX7" s="2"/>
      <c r="DY7" s="3">
        <f t="shared" si="34"/>
        <v>0</v>
      </c>
      <c r="DZ7" s="2"/>
      <c r="EA7" s="2">
        <f t="shared" si="35"/>
        <v>0</v>
      </c>
      <c r="EB7" s="1"/>
      <c r="EC7" s="1"/>
      <c r="ED7" s="1">
        <v>2</v>
      </c>
      <c r="EE7" s="1"/>
      <c r="EF7" s="10">
        <f t="shared" si="36"/>
        <v>0</v>
      </c>
      <c r="EG7" s="1"/>
      <c r="EH7" s="1">
        <f t="shared" si="37"/>
        <v>0</v>
      </c>
      <c r="EI7" s="2"/>
      <c r="EJ7" s="2"/>
      <c r="EK7" s="2">
        <v>2</v>
      </c>
      <c r="EL7" s="2"/>
      <c r="EM7" s="3">
        <f t="shared" si="38"/>
        <v>0</v>
      </c>
      <c r="EN7" s="2"/>
      <c r="EO7" s="2">
        <f t="shared" si="39"/>
        <v>0</v>
      </c>
      <c r="EP7" s="1"/>
      <c r="EQ7" s="1"/>
      <c r="ER7" s="1">
        <v>2</v>
      </c>
      <c r="ES7" s="1"/>
      <c r="ET7" s="10">
        <f t="shared" si="40"/>
        <v>0</v>
      </c>
      <c r="EU7" s="1"/>
      <c r="EV7" s="1">
        <f t="shared" si="41"/>
        <v>0</v>
      </c>
      <c r="EW7" s="2"/>
      <c r="EX7" s="2"/>
      <c r="EY7" s="2">
        <v>2</v>
      </c>
      <c r="EZ7" s="2"/>
      <c r="FA7" s="3">
        <f t="shared" si="42"/>
        <v>0</v>
      </c>
      <c r="FB7" s="2"/>
      <c r="FC7" s="2">
        <f t="shared" si="43"/>
        <v>0</v>
      </c>
      <c r="FD7" s="1"/>
      <c r="FE7" s="1"/>
      <c r="FF7" s="1">
        <v>2</v>
      </c>
      <c r="FG7" s="1"/>
      <c r="FH7" s="10">
        <f t="shared" si="44"/>
        <v>0</v>
      </c>
      <c r="FI7" s="1"/>
      <c r="FJ7" s="1">
        <f t="shared" si="45"/>
        <v>0</v>
      </c>
      <c r="FK7" s="2"/>
      <c r="FL7" s="2"/>
      <c r="FM7" s="2">
        <v>2</v>
      </c>
      <c r="FN7" s="2"/>
      <c r="FO7" s="3">
        <f t="shared" si="46"/>
        <v>0</v>
      </c>
      <c r="FP7" s="2"/>
      <c r="FQ7" s="2">
        <f t="shared" si="47"/>
        <v>0</v>
      </c>
      <c r="FR7" s="1"/>
      <c r="FS7" s="1"/>
      <c r="FT7" s="1">
        <v>2</v>
      </c>
      <c r="FU7" s="1"/>
      <c r="FV7" s="10">
        <f t="shared" si="48"/>
        <v>0</v>
      </c>
      <c r="FW7" s="1"/>
      <c r="FX7" s="1">
        <f t="shared" si="49"/>
        <v>0</v>
      </c>
      <c r="FY7" s="2"/>
      <c r="FZ7" s="2"/>
      <c r="GA7" s="2">
        <v>2</v>
      </c>
      <c r="GB7" s="2"/>
      <c r="GC7" s="3">
        <f t="shared" si="50"/>
        <v>0</v>
      </c>
      <c r="GD7" s="2"/>
      <c r="GE7" s="2">
        <f t="shared" si="51"/>
        <v>0</v>
      </c>
      <c r="GF7" s="1"/>
      <c r="GG7" s="1"/>
      <c r="GH7" s="1">
        <v>2</v>
      </c>
      <c r="GI7" s="1"/>
      <c r="GJ7" s="10">
        <f t="shared" si="52"/>
        <v>0</v>
      </c>
      <c r="GK7" s="1"/>
      <c r="GL7" s="1">
        <f t="shared" si="53"/>
        <v>0</v>
      </c>
      <c r="GM7" s="2"/>
      <c r="GN7" s="2"/>
      <c r="GO7" s="2">
        <v>2</v>
      </c>
      <c r="GP7" s="2"/>
      <c r="GQ7" s="3">
        <f t="shared" si="54"/>
        <v>0</v>
      </c>
      <c r="GR7" s="2"/>
      <c r="GS7" s="2">
        <f t="shared" si="55"/>
        <v>0</v>
      </c>
      <c r="GT7" s="1"/>
      <c r="GU7" s="1"/>
      <c r="GV7" s="1">
        <v>2</v>
      </c>
      <c r="GW7" s="1"/>
      <c r="GX7" s="10">
        <f t="shared" si="56"/>
        <v>0</v>
      </c>
      <c r="GY7" s="1"/>
      <c r="GZ7" s="1">
        <f t="shared" si="57"/>
        <v>0</v>
      </c>
      <c r="HA7" s="2"/>
      <c r="HB7" s="2"/>
      <c r="HC7" s="2">
        <v>2</v>
      </c>
      <c r="HD7" s="2"/>
      <c r="HE7" s="3">
        <f t="shared" si="58"/>
        <v>0</v>
      </c>
      <c r="HF7" s="2"/>
      <c r="HG7" s="2">
        <f t="shared" si="59"/>
        <v>0</v>
      </c>
      <c r="HH7" s="1"/>
      <c r="HI7" s="1"/>
      <c r="HJ7" s="1">
        <v>2</v>
      </c>
      <c r="HK7" s="1"/>
      <c r="HL7" s="10">
        <f t="shared" si="60"/>
        <v>0</v>
      </c>
      <c r="HM7" s="1"/>
      <c r="HN7" s="1">
        <f t="shared" si="61"/>
        <v>0</v>
      </c>
      <c r="HO7" s="2"/>
      <c r="HP7" s="2"/>
      <c r="HQ7" s="2">
        <v>2</v>
      </c>
      <c r="HR7" s="2"/>
      <c r="HS7" s="3">
        <f t="shared" si="62"/>
        <v>0</v>
      </c>
      <c r="HT7" s="2"/>
      <c r="HU7" s="2">
        <f t="shared" si="63"/>
        <v>0</v>
      </c>
      <c r="HV7" s="1"/>
      <c r="HW7" s="1"/>
      <c r="HX7" s="1">
        <v>2</v>
      </c>
      <c r="HY7" s="1"/>
      <c r="HZ7" s="10">
        <f t="shared" si="64"/>
        <v>0</v>
      </c>
      <c r="IA7" s="1"/>
      <c r="IB7" s="1">
        <f t="shared" si="65"/>
        <v>0</v>
      </c>
      <c r="IC7" s="2"/>
      <c r="ID7" s="2"/>
      <c r="IE7" s="2">
        <v>2</v>
      </c>
      <c r="IF7" s="2"/>
      <c r="IG7" s="3">
        <f t="shared" si="66"/>
        <v>0</v>
      </c>
      <c r="IH7" s="2"/>
      <c r="II7" s="2">
        <f t="shared" si="67"/>
        <v>0</v>
      </c>
      <c r="IJ7" s="1"/>
      <c r="IK7" s="1"/>
      <c r="IL7" s="1">
        <v>2</v>
      </c>
      <c r="IM7" s="1"/>
      <c r="IN7" s="10">
        <f t="shared" si="68"/>
        <v>0</v>
      </c>
      <c r="IO7" s="1"/>
      <c r="IP7" s="1">
        <f t="shared" si="69"/>
        <v>0</v>
      </c>
    </row>
    <row r="8" spans="1:250" ht="33" customHeight="1">
      <c r="A8" s="69" t="s">
        <v>74</v>
      </c>
      <c r="B8" s="71"/>
      <c r="C8" s="72" t="s">
        <v>9</v>
      </c>
      <c r="D8" s="72" t="s">
        <v>75</v>
      </c>
      <c r="E8" s="72" t="s">
        <v>10</v>
      </c>
      <c r="F8" s="1"/>
      <c r="G8" s="1"/>
      <c r="H8" s="1">
        <v>2</v>
      </c>
      <c r="I8" s="68"/>
      <c r="J8" s="10">
        <f t="shared" si="1"/>
        <v>0</v>
      </c>
      <c r="K8" s="68"/>
      <c r="L8" s="1">
        <f t="shared" si="0"/>
        <v>0</v>
      </c>
      <c r="M8" s="2"/>
      <c r="N8" s="2"/>
      <c r="O8" s="2">
        <v>2</v>
      </c>
      <c r="P8" s="72"/>
      <c r="Q8" s="3">
        <f t="shared" si="2"/>
        <v>0</v>
      </c>
      <c r="R8" s="72"/>
      <c r="S8" s="2">
        <f t="shared" si="3"/>
        <v>0</v>
      </c>
      <c r="T8" s="1"/>
      <c r="U8" s="1"/>
      <c r="V8" s="1">
        <v>2</v>
      </c>
      <c r="W8" s="1"/>
      <c r="X8" s="10">
        <f t="shared" si="4"/>
        <v>0</v>
      </c>
      <c r="Y8" s="1"/>
      <c r="Z8" s="1">
        <f t="shared" si="5"/>
        <v>0</v>
      </c>
      <c r="AA8" s="2"/>
      <c r="AB8" s="2"/>
      <c r="AC8" s="2">
        <v>2</v>
      </c>
      <c r="AD8" s="2"/>
      <c r="AE8" s="3">
        <f t="shared" si="6"/>
        <v>0</v>
      </c>
      <c r="AF8" s="2"/>
      <c r="AG8" s="2">
        <f t="shared" si="7"/>
        <v>0</v>
      </c>
      <c r="AH8" s="1"/>
      <c r="AI8" s="1"/>
      <c r="AJ8" s="1">
        <v>2</v>
      </c>
      <c r="AK8" s="1"/>
      <c r="AL8" s="10">
        <f t="shared" si="8"/>
        <v>0</v>
      </c>
      <c r="AM8" s="1"/>
      <c r="AN8" s="1">
        <f t="shared" si="9"/>
        <v>0</v>
      </c>
      <c r="AO8" s="2"/>
      <c r="AP8" s="2"/>
      <c r="AQ8" s="2">
        <v>2</v>
      </c>
      <c r="AR8" s="2"/>
      <c r="AS8" s="3">
        <f t="shared" si="10"/>
        <v>0</v>
      </c>
      <c r="AT8" s="2"/>
      <c r="AU8" s="2">
        <f t="shared" si="11"/>
        <v>0</v>
      </c>
      <c r="AV8" s="1"/>
      <c r="AW8" s="1"/>
      <c r="AX8" s="1">
        <v>2</v>
      </c>
      <c r="AY8" s="1"/>
      <c r="AZ8" s="10">
        <f t="shared" si="12"/>
        <v>0</v>
      </c>
      <c r="BA8" s="1"/>
      <c r="BB8" s="1">
        <f t="shared" si="13"/>
        <v>0</v>
      </c>
      <c r="BC8" s="2"/>
      <c r="BD8" s="2"/>
      <c r="BE8" s="2">
        <v>2</v>
      </c>
      <c r="BF8" s="2"/>
      <c r="BG8" s="3">
        <f t="shared" si="14"/>
        <v>0</v>
      </c>
      <c r="BH8" s="2"/>
      <c r="BI8" s="2">
        <f t="shared" si="15"/>
        <v>0</v>
      </c>
      <c r="BJ8" s="1"/>
      <c r="BK8" s="1"/>
      <c r="BL8" s="1">
        <v>2</v>
      </c>
      <c r="BM8" s="1"/>
      <c r="BN8" s="10">
        <f t="shared" si="16"/>
        <v>0</v>
      </c>
      <c r="BO8" s="1"/>
      <c r="BP8" s="1">
        <f t="shared" si="17"/>
        <v>0</v>
      </c>
      <c r="BQ8" s="2"/>
      <c r="BR8" s="2"/>
      <c r="BS8" s="2">
        <v>2</v>
      </c>
      <c r="BT8" s="2"/>
      <c r="BU8" s="3">
        <f t="shared" si="18"/>
        <v>0</v>
      </c>
      <c r="BV8" s="2"/>
      <c r="BW8" s="2">
        <f t="shared" si="19"/>
        <v>0</v>
      </c>
      <c r="BX8" s="1"/>
      <c r="BY8" s="1"/>
      <c r="BZ8" s="1">
        <v>2</v>
      </c>
      <c r="CA8" s="1"/>
      <c r="CB8" s="10">
        <f t="shared" si="20"/>
        <v>0</v>
      </c>
      <c r="CC8" s="1"/>
      <c r="CD8" s="1">
        <f t="shared" si="21"/>
        <v>0</v>
      </c>
      <c r="CE8" s="2"/>
      <c r="CF8" s="2"/>
      <c r="CG8" s="2">
        <v>2</v>
      </c>
      <c r="CH8" s="2"/>
      <c r="CI8" s="3">
        <f t="shared" si="22"/>
        <v>0</v>
      </c>
      <c r="CJ8" s="2"/>
      <c r="CK8" s="2">
        <f t="shared" si="23"/>
        <v>0</v>
      </c>
      <c r="CL8" s="1"/>
      <c r="CM8" s="1"/>
      <c r="CN8" s="1">
        <v>2</v>
      </c>
      <c r="CO8" s="1"/>
      <c r="CP8" s="10">
        <f t="shared" si="24"/>
        <v>0</v>
      </c>
      <c r="CQ8" s="1"/>
      <c r="CR8" s="1">
        <f t="shared" si="25"/>
        <v>0</v>
      </c>
      <c r="CS8" s="2"/>
      <c r="CT8" s="2"/>
      <c r="CU8" s="2">
        <v>2</v>
      </c>
      <c r="CV8" s="2"/>
      <c r="CW8" s="3">
        <f t="shared" si="26"/>
        <v>0</v>
      </c>
      <c r="CX8" s="2"/>
      <c r="CY8" s="2">
        <f t="shared" si="27"/>
        <v>0</v>
      </c>
      <c r="CZ8" s="1"/>
      <c r="DA8" s="1"/>
      <c r="DB8" s="1">
        <v>2</v>
      </c>
      <c r="DC8" s="1"/>
      <c r="DD8" s="10">
        <f t="shared" si="28"/>
        <v>0</v>
      </c>
      <c r="DE8" s="1"/>
      <c r="DF8" s="1">
        <f t="shared" si="29"/>
        <v>0</v>
      </c>
      <c r="DG8" s="2"/>
      <c r="DH8" s="2"/>
      <c r="DI8" s="2">
        <v>2</v>
      </c>
      <c r="DJ8" s="2"/>
      <c r="DK8" s="3">
        <f t="shared" si="30"/>
        <v>0</v>
      </c>
      <c r="DL8" s="2"/>
      <c r="DM8" s="2">
        <f t="shared" si="31"/>
        <v>0</v>
      </c>
      <c r="DN8" s="1"/>
      <c r="DO8" s="1"/>
      <c r="DP8" s="1">
        <v>2</v>
      </c>
      <c r="DQ8" s="1"/>
      <c r="DR8" s="10">
        <f t="shared" si="32"/>
        <v>0</v>
      </c>
      <c r="DS8" s="1"/>
      <c r="DT8" s="1">
        <f t="shared" si="33"/>
        <v>0</v>
      </c>
      <c r="DU8" s="2"/>
      <c r="DV8" s="2"/>
      <c r="DW8" s="2">
        <v>2</v>
      </c>
      <c r="DX8" s="2"/>
      <c r="DY8" s="3">
        <f t="shared" si="34"/>
        <v>0</v>
      </c>
      <c r="DZ8" s="2"/>
      <c r="EA8" s="2">
        <f t="shared" si="35"/>
        <v>0</v>
      </c>
      <c r="EB8" s="1"/>
      <c r="EC8" s="1"/>
      <c r="ED8" s="1">
        <v>2</v>
      </c>
      <c r="EE8" s="1"/>
      <c r="EF8" s="10">
        <f t="shared" si="36"/>
        <v>0</v>
      </c>
      <c r="EG8" s="1"/>
      <c r="EH8" s="1">
        <f t="shared" si="37"/>
        <v>0</v>
      </c>
      <c r="EI8" s="2"/>
      <c r="EJ8" s="2"/>
      <c r="EK8" s="2">
        <v>2</v>
      </c>
      <c r="EL8" s="2"/>
      <c r="EM8" s="3">
        <f t="shared" si="38"/>
        <v>0</v>
      </c>
      <c r="EN8" s="2"/>
      <c r="EO8" s="2">
        <f t="shared" si="39"/>
        <v>0</v>
      </c>
      <c r="EP8" s="1"/>
      <c r="EQ8" s="1"/>
      <c r="ER8" s="1">
        <v>2</v>
      </c>
      <c r="ES8" s="1"/>
      <c r="ET8" s="10">
        <f t="shared" si="40"/>
        <v>0</v>
      </c>
      <c r="EU8" s="1"/>
      <c r="EV8" s="1">
        <f t="shared" si="41"/>
        <v>0</v>
      </c>
      <c r="EW8" s="2"/>
      <c r="EX8" s="2"/>
      <c r="EY8" s="2">
        <v>2</v>
      </c>
      <c r="EZ8" s="2"/>
      <c r="FA8" s="3">
        <f t="shared" si="42"/>
        <v>0</v>
      </c>
      <c r="FB8" s="2"/>
      <c r="FC8" s="2">
        <f t="shared" si="43"/>
        <v>0</v>
      </c>
      <c r="FD8" s="1"/>
      <c r="FE8" s="1"/>
      <c r="FF8" s="1">
        <v>2</v>
      </c>
      <c r="FG8" s="1"/>
      <c r="FH8" s="10">
        <f t="shared" si="44"/>
        <v>0</v>
      </c>
      <c r="FI8" s="1"/>
      <c r="FJ8" s="1">
        <f t="shared" si="45"/>
        <v>0</v>
      </c>
      <c r="FK8" s="2"/>
      <c r="FL8" s="2"/>
      <c r="FM8" s="2">
        <v>2</v>
      </c>
      <c r="FN8" s="2"/>
      <c r="FO8" s="3">
        <f t="shared" si="46"/>
        <v>0</v>
      </c>
      <c r="FP8" s="2"/>
      <c r="FQ8" s="2">
        <f t="shared" si="47"/>
        <v>0</v>
      </c>
      <c r="FR8" s="1"/>
      <c r="FS8" s="1"/>
      <c r="FT8" s="1">
        <v>2</v>
      </c>
      <c r="FU8" s="1"/>
      <c r="FV8" s="10">
        <f t="shared" si="48"/>
        <v>0</v>
      </c>
      <c r="FW8" s="1"/>
      <c r="FX8" s="1">
        <f t="shared" si="49"/>
        <v>0</v>
      </c>
      <c r="FY8" s="2"/>
      <c r="FZ8" s="2"/>
      <c r="GA8" s="2">
        <v>2</v>
      </c>
      <c r="GB8" s="2"/>
      <c r="GC8" s="3">
        <f t="shared" si="50"/>
        <v>0</v>
      </c>
      <c r="GD8" s="2"/>
      <c r="GE8" s="2">
        <f t="shared" si="51"/>
        <v>0</v>
      </c>
      <c r="GF8" s="1"/>
      <c r="GG8" s="1"/>
      <c r="GH8" s="1">
        <v>2</v>
      </c>
      <c r="GI8" s="1"/>
      <c r="GJ8" s="10">
        <f t="shared" si="52"/>
        <v>0</v>
      </c>
      <c r="GK8" s="1"/>
      <c r="GL8" s="1">
        <f t="shared" si="53"/>
        <v>0</v>
      </c>
      <c r="GM8" s="2"/>
      <c r="GN8" s="2"/>
      <c r="GO8" s="2">
        <v>2</v>
      </c>
      <c r="GP8" s="2"/>
      <c r="GQ8" s="3">
        <f t="shared" si="54"/>
        <v>0</v>
      </c>
      <c r="GR8" s="2"/>
      <c r="GS8" s="2">
        <f t="shared" si="55"/>
        <v>0</v>
      </c>
      <c r="GT8" s="1"/>
      <c r="GU8" s="1"/>
      <c r="GV8" s="1">
        <v>2</v>
      </c>
      <c r="GW8" s="1"/>
      <c r="GX8" s="10">
        <f t="shared" si="56"/>
        <v>0</v>
      </c>
      <c r="GY8" s="1"/>
      <c r="GZ8" s="1">
        <f t="shared" si="57"/>
        <v>0</v>
      </c>
      <c r="HA8" s="2"/>
      <c r="HB8" s="2"/>
      <c r="HC8" s="2">
        <v>2</v>
      </c>
      <c r="HD8" s="2"/>
      <c r="HE8" s="3">
        <f t="shared" si="58"/>
        <v>0</v>
      </c>
      <c r="HF8" s="2"/>
      <c r="HG8" s="2">
        <f t="shared" si="59"/>
        <v>0</v>
      </c>
      <c r="HH8" s="1"/>
      <c r="HI8" s="1"/>
      <c r="HJ8" s="1">
        <v>2</v>
      </c>
      <c r="HK8" s="1"/>
      <c r="HL8" s="10">
        <f t="shared" si="60"/>
        <v>0</v>
      </c>
      <c r="HM8" s="1"/>
      <c r="HN8" s="1">
        <f t="shared" si="61"/>
        <v>0</v>
      </c>
      <c r="HO8" s="2"/>
      <c r="HP8" s="2"/>
      <c r="HQ8" s="2">
        <v>2</v>
      </c>
      <c r="HR8" s="2"/>
      <c r="HS8" s="3">
        <f t="shared" si="62"/>
        <v>0</v>
      </c>
      <c r="HT8" s="2"/>
      <c r="HU8" s="2">
        <f t="shared" si="63"/>
        <v>0</v>
      </c>
      <c r="HV8" s="1"/>
      <c r="HW8" s="1"/>
      <c r="HX8" s="1">
        <v>2</v>
      </c>
      <c r="HY8" s="1"/>
      <c r="HZ8" s="10">
        <f t="shared" si="64"/>
        <v>0</v>
      </c>
      <c r="IA8" s="1"/>
      <c r="IB8" s="1">
        <f t="shared" si="65"/>
        <v>0</v>
      </c>
      <c r="IC8" s="2"/>
      <c r="ID8" s="2"/>
      <c r="IE8" s="2">
        <v>2</v>
      </c>
      <c r="IF8" s="2"/>
      <c r="IG8" s="3">
        <f t="shared" si="66"/>
        <v>0</v>
      </c>
      <c r="IH8" s="2"/>
      <c r="II8" s="2">
        <f t="shared" si="67"/>
        <v>0</v>
      </c>
      <c r="IJ8" s="1"/>
      <c r="IK8" s="1"/>
      <c r="IL8" s="1">
        <v>2</v>
      </c>
      <c r="IM8" s="1"/>
      <c r="IN8" s="10">
        <f t="shared" si="68"/>
        <v>0</v>
      </c>
      <c r="IO8" s="1"/>
      <c r="IP8" s="1">
        <f t="shared" si="69"/>
        <v>0</v>
      </c>
    </row>
    <row r="9" spans="1:250" ht="38.25" customHeight="1">
      <c r="A9" s="69" t="s">
        <v>76</v>
      </c>
      <c r="B9" s="71"/>
      <c r="C9" s="72" t="s">
        <v>17</v>
      </c>
      <c r="D9" s="72" t="s">
        <v>18</v>
      </c>
      <c r="E9" s="72" t="s">
        <v>19</v>
      </c>
      <c r="F9" s="8"/>
      <c r="G9" s="8"/>
      <c r="H9" s="1">
        <v>2</v>
      </c>
      <c r="I9" s="68"/>
      <c r="J9" s="10">
        <f t="shared" si="1"/>
        <v>0</v>
      </c>
      <c r="K9" s="68"/>
      <c r="L9" s="1">
        <f t="shared" si="0"/>
        <v>0</v>
      </c>
      <c r="M9" s="7"/>
      <c r="N9" s="7"/>
      <c r="O9" s="2">
        <v>2</v>
      </c>
      <c r="P9" s="72"/>
      <c r="Q9" s="3">
        <f t="shared" si="2"/>
        <v>0</v>
      </c>
      <c r="R9" s="72"/>
      <c r="S9" s="2">
        <f t="shared" si="3"/>
        <v>0</v>
      </c>
      <c r="T9" s="8"/>
      <c r="U9" s="8"/>
      <c r="V9" s="1">
        <v>2</v>
      </c>
      <c r="W9" s="1"/>
      <c r="X9" s="10">
        <f t="shared" si="4"/>
        <v>0</v>
      </c>
      <c r="Y9" s="1"/>
      <c r="Z9" s="1">
        <f t="shared" si="5"/>
        <v>0</v>
      </c>
      <c r="AA9" s="7"/>
      <c r="AB9" s="7"/>
      <c r="AC9" s="2">
        <v>2</v>
      </c>
      <c r="AD9" s="2"/>
      <c r="AE9" s="3">
        <f t="shared" si="6"/>
        <v>0</v>
      </c>
      <c r="AF9" s="2"/>
      <c r="AG9" s="2">
        <f t="shared" si="7"/>
        <v>0</v>
      </c>
      <c r="AH9" s="8"/>
      <c r="AI9" s="8"/>
      <c r="AJ9" s="1">
        <v>2</v>
      </c>
      <c r="AK9" s="1"/>
      <c r="AL9" s="10">
        <f t="shared" si="8"/>
        <v>0</v>
      </c>
      <c r="AM9" s="1"/>
      <c r="AN9" s="1">
        <f t="shared" si="9"/>
        <v>0</v>
      </c>
      <c r="AO9" s="7"/>
      <c r="AP9" s="7"/>
      <c r="AQ9" s="2">
        <v>2</v>
      </c>
      <c r="AR9" s="2"/>
      <c r="AS9" s="3">
        <f t="shared" si="10"/>
        <v>0</v>
      </c>
      <c r="AT9" s="2"/>
      <c r="AU9" s="2">
        <f t="shared" si="11"/>
        <v>0</v>
      </c>
      <c r="AV9" s="8"/>
      <c r="AW9" s="8"/>
      <c r="AX9" s="1">
        <v>2</v>
      </c>
      <c r="AY9" s="1"/>
      <c r="AZ9" s="10">
        <f t="shared" si="12"/>
        <v>0</v>
      </c>
      <c r="BA9" s="1"/>
      <c r="BB9" s="1">
        <f t="shared" si="13"/>
        <v>0</v>
      </c>
      <c r="BC9" s="7"/>
      <c r="BD9" s="7"/>
      <c r="BE9" s="2">
        <v>2</v>
      </c>
      <c r="BF9" s="2"/>
      <c r="BG9" s="3">
        <f t="shared" si="14"/>
        <v>0</v>
      </c>
      <c r="BH9" s="2"/>
      <c r="BI9" s="2">
        <f t="shared" si="15"/>
        <v>0</v>
      </c>
      <c r="BJ9" s="8"/>
      <c r="BK9" s="8"/>
      <c r="BL9" s="1">
        <v>2</v>
      </c>
      <c r="BM9" s="1"/>
      <c r="BN9" s="10">
        <f t="shared" si="16"/>
        <v>0</v>
      </c>
      <c r="BO9" s="1"/>
      <c r="BP9" s="1">
        <f t="shared" si="17"/>
        <v>0</v>
      </c>
      <c r="BQ9" s="7"/>
      <c r="BR9" s="7"/>
      <c r="BS9" s="2">
        <v>2</v>
      </c>
      <c r="BT9" s="2"/>
      <c r="BU9" s="3">
        <f t="shared" si="18"/>
        <v>0</v>
      </c>
      <c r="BV9" s="2"/>
      <c r="BW9" s="2">
        <f t="shared" si="19"/>
        <v>0</v>
      </c>
      <c r="BX9" s="8"/>
      <c r="BY9" s="8"/>
      <c r="BZ9" s="1">
        <v>2</v>
      </c>
      <c r="CA9" s="1"/>
      <c r="CB9" s="10">
        <f t="shared" si="20"/>
        <v>0</v>
      </c>
      <c r="CC9" s="1"/>
      <c r="CD9" s="1">
        <f t="shared" si="21"/>
        <v>0</v>
      </c>
      <c r="CE9" s="7"/>
      <c r="CF9" s="7"/>
      <c r="CG9" s="2">
        <v>2</v>
      </c>
      <c r="CH9" s="2"/>
      <c r="CI9" s="3">
        <f t="shared" si="22"/>
        <v>0</v>
      </c>
      <c r="CJ9" s="2"/>
      <c r="CK9" s="2">
        <f t="shared" si="23"/>
        <v>0</v>
      </c>
      <c r="CL9" s="8"/>
      <c r="CM9" s="8"/>
      <c r="CN9" s="1">
        <v>2</v>
      </c>
      <c r="CO9" s="1"/>
      <c r="CP9" s="10">
        <f t="shared" si="24"/>
        <v>0</v>
      </c>
      <c r="CQ9" s="1"/>
      <c r="CR9" s="1">
        <f t="shared" si="25"/>
        <v>0</v>
      </c>
      <c r="CS9" s="7"/>
      <c r="CT9" s="7"/>
      <c r="CU9" s="2">
        <v>2</v>
      </c>
      <c r="CV9" s="2"/>
      <c r="CW9" s="3">
        <f t="shared" si="26"/>
        <v>0</v>
      </c>
      <c r="CX9" s="2"/>
      <c r="CY9" s="2">
        <f t="shared" si="27"/>
        <v>0</v>
      </c>
      <c r="CZ9" s="8"/>
      <c r="DA9" s="8"/>
      <c r="DB9" s="1">
        <v>2</v>
      </c>
      <c r="DC9" s="1"/>
      <c r="DD9" s="10">
        <f t="shared" si="28"/>
        <v>0</v>
      </c>
      <c r="DE9" s="1"/>
      <c r="DF9" s="1">
        <f t="shared" si="29"/>
        <v>0</v>
      </c>
      <c r="DG9" s="7"/>
      <c r="DH9" s="7"/>
      <c r="DI9" s="2">
        <v>2</v>
      </c>
      <c r="DJ9" s="2"/>
      <c r="DK9" s="3">
        <f t="shared" si="30"/>
        <v>0</v>
      </c>
      <c r="DL9" s="2"/>
      <c r="DM9" s="2">
        <f t="shared" si="31"/>
        <v>0</v>
      </c>
      <c r="DN9" s="8"/>
      <c r="DO9" s="8"/>
      <c r="DP9" s="1">
        <v>2</v>
      </c>
      <c r="DQ9" s="1"/>
      <c r="DR9" s="10">
        <f t="shared" si="32"/>
        <v>0</v>
      </c>
      <c r="DS9" s="1"/>
      <c r="DT9" s="1">
        <f t="shared" si="33"/>
        <v>0</v>
      </c>
      <c r="DU9" s="7"/>
      <c r="DV9" s="7"/>
      <c r="DW9" s="2">
        <v>2</v>
      </c>
      <c r="DX9" s="2"/>
      <c r="DY9" s="3">
        <f t="shared" si="34"/>
        <v>0</v>
      </c>
      <c r="DZ9" s="2"/>
      <c r="EA9" s="2">
        <f t="shared" si="35"/>
        <v>0</v>
      </c>
      <c r="EB9" s="8"/>
      <c r="EC9" s="8"/>
      <c r="ED9" s="1">
        <v>2</v>
      </c>
      <c r="EE9" s="1"/>
      <c r="EF9" s="10">
        <f t="shared" si="36"/>
        <v>0</v>
      </c>
      <c r="EG9" s="1"/>
      <c r="EH9" s="1">
        <f t="shared" si="37"/>
        <v>0</v>
      </c>
      <c r="EI9" s="7"/>
      <c r="EJ9" s="7"/>
      <c r="EK9" s="2">
        <v>2</v>
      </c>
      <c r="EL9" s="2"/>
      <c r="EM9" s="3">
        <f t="shared" si="38"/>
        <v>0</v>
      </c>
      <c r="EN9" s="2"/>
      <c r="EO9" s="2">
        <f t="shared" si="39"/>
        <v>0</v>
      </c>
      <c r="EP9" s="8"/>
      <c r="EQ9" s="8"/>
      <c r="ER9" s="1">
        <v>2</v>
      </c>
      <c r="ES9" s="1"/>
      <c r="ET9" s="10">
        <f t="shared" si="40"/>
        <v>0</v>
      </c>
      <c r="EU9" s="1"/>
      <c r="EV9" s="1">
        <f t="shared" si="41"/>
        <v>0</v>
      </c>
      <c r="EW9" s="7"/>
      <c r="EX9" s="7"/>
      <c r="EY9" s="2">
        <v>2</v>
      </c>
      <c r="EZ9" s="2"/>
      <c r="FA9" s="3">
        <f t="shared" si="42"/>
        <v>0</v>
      </c>
      <c r="FB9" s="2"/>
      <c r="FC9" s="2">
        <f t="shared" si="43"/>
        <v>0</v>
      </c>
      <c r="FD9" s="8"/>
      <c r="FE9" s="8"/>
      <c r="FF9" s="1">
        <v>2</v>
      </c>
      <c r="FG9" s="1"/>
      <c r="FH9" s="10">
        <f t="shared" si="44"/>
        <v>0</v>
      </c>
      <c r="FI9" s="1"/>
      <c r="FJ9" s="1">
        <f t="shared" si="45"/>
        <v>0</v>
      </c>
      <c r="FK9" s="7"/>
      <c r="FL9" s="7"/>
      <c r="FM9" s="2">
        <v>2</v>
      </c>
      <c r="FN9" s="2"/>
      <c r="FO9" s="3">
        <f t="shared" si="46"/>
        <v>0</v>
      </c>
      <c r="FP9" s="2"/>
      <c r="FQ9" s="2">
        <f t="shared" si="47"/>
        <v>0</v>
      </c>
      <c r="FR9" s="8"/>
      <c r="FS9" s="8"/>
      <c r="FT9" s="1">
        <v>2</v>
      </c>
      <c r="FU9" s="1"/>
      <c r="FV9" s="10">
        <f t="shared" si="48"/>
        <v>0</v>
      </c>
      <c r="FW9" s="1"/>
      <c r="FX9" s="1">
        <f t="shared" si="49"/>
        <v>0</v>
      </c>
      <c r="FY9" s="7"/>
      <c r="FZ9" s="7"/>
      <c r="GA9" s="2">
        <v>2</v>
      </c>
      <c r="GB9" s="2"/>
      <c r="GC9" s="3">
        <f t="shared" si="50"/>
        <v>0</v>
      </c>
      <c r="GD9" s="2"/>
      <c r="GE9" s="2">
        <f t="shared" si="51"/>
        <v>0</v>
      </c>
      <c r="GF9" s="8"/>
      <c r="GG9" s="8"/>
      <c r="GH9" s="1">
        <v>2</v>
      </c>
      <c r="GI9" s="1"/>
      <c r="GJ9" s="10">
        <f t="shared" si="52"/>
        <v>0</v>
      </c>
      <c r="GK9" s="1"/>
      <c r="GL9" s="1">
        <f t="shared" si="53"/>
        <v>0</v>
      </c>
      <c r="GM9" s="7"/>
      <c r="GN9" s="7"/>
      <c r="GO9" s="2">
        <v>2</v>
      </c>
      <c r="GP9" s="2"/>
      <c r="GQ9" s="3">
        <f t="shared" si="54"/>
        <v>0</v>
      </c>
      <c r="GR9" s="2"/>
      <c r="GS9" s="2">
        <f t="shared" si="55"/>
        <v>0</v>
      </c>
      <c r="GT9" s="8"/>
      <c r="GU9" s="8"/>
      <c r="GV9" s="1">
        <v>2</v>
      </c>
      <c r="GW9" s="1"/>
      <c r="GX9" s="10">
        <f t="shared" si="56"/>
        <v>0</v>
      </c>
      <c r="GY9" s="1"/>
      <c r="GZ9" s="1">
        <f t="shared" si="57"/>
        <v>0</v>
      </c>
      <c r="HA9" s="7"/>
      <c r="HB9" s="7"/>
      <c r="HC9" s="2">
        <v>2</v>
      </c>
      <c r="HD9" s="2"/>
      <c r="HE9" s="3">
        <f t="shared" si="58"/>
        <v>0</v>
      </c>
      <c r="HF9" s="2"/>
      <c r="HG9" s="2">
        <f t="shared" si="59"/>
        <v>0</v>
      </c>
      <c r="HH9" s="8"/>
      <c r="HI9" s="8"/>
      <c r="HJ9" s="1">
        <v>2</v>
      </c>
      <c r="HK9" s="1"/>
      <c r="HL9" s="10">
        <f t="shared" si="60"/>
        <v>0</v>
      </c>
      <c r="HM9" s="1"/>
      <c r="HN9" s="1">
        <f t="shared" si="61"/>
        <v>0</v>
      </c>
      <c r="HO9" s="7"/>
      <c r="HP9" s="7"/>
      <c r="HQ9" s="2">
        <v>2</v>
      </c>
      <c r="HR9" s="2"/>
      <c r="HS9" s="3">
        <f t="shared" si="62"/>
        <v>0</v>
      </c>
      <c r="HT9" s="2"/>
      <c r="HU9" s="2">
        <f t="shared" si="63"/>
        <v>0</v>
      </c>
      <c r="HV9" s="8"/>
      <c r="HW9" s="8"/>
      <c r="HX9" s="1">
        <v>2</v>
      </c>
      <c r="HY9" s="1"/>
      <c r="HZ9" s="10">
        <f t="shared" si="64"/>
        <v>0</v>
      </c>
      <c r="IA9" s="1"/>
      <c r="IB9" s="1">
        <f t="shared" si="65"/>
        <v>0</v>
      </c>
      <c r="IC9" s="7"/>
      <c r="ID9" s="7"/>
      <c r="IE9" s="2">
        <v>2</v>
      </c>
      <c r="IF9" s="2"/>
      <c r="IG9" s="3">
        <f t="shared" si="66"/>
        <v>0</v>
      </c>
      <c r="IH9" s="2"/>
      <c r="II9" s="2">
        <f t="shared" si="67"/>
        <v>0</v>
      </c>
      <c r="IJ9" s="8"/>
      <c r="IK9" s="8"/>
      <c r="IL9" s="1">
        <v>2</v>
      </c>
      <c r="IM9" s="1"/>
      <c r="IN9" s="10">
        <f t="shared" si="68"/>
        <v>0</v>
      </c>
      <c r="IO9" s="1"/>
      <c r="IP9" s="1">
        <f t="shared" si="69"/>
        <v>0</v>
      </c>
    </row>
    <row r="10" spans="1:250" ht="22.5" customHeight="1">
      <c r="A10" s="69" t="s">
        <v>77</v>
      </c>
      <c r="B10" s="71" t="s">
        <v>78</v>
      </c>
      <c r="C10" s="72">
        <v>0</v>
      </c>
      <c r="D10" s="72" t="s">
        <v>79</v>
      </c>
      <c r="E10" s="72" t="s">
        <v>177</v>
      </c>
      <c r="F10" s="1"/>
      <c r="G10" s="1"/>
      <c r="H10" s="1">
        <v>2</v>
      </c>
      <c r="I10" s="68"/>
      <c r="J10" s="10">
        <f t="shared" si="1"/>
        <v>0</v>
      </c>
      <c r="K10" s="68"/>
      <c r="L10" s="1">
        <f t="shared" si="0"/>
        <v>0</v>
      </c>
      <c r="M10" s="2"/>
      <c r="N10" s="2"/>
      <c r="O10" s="2">
        <v>2</v>
      </c>
      <c r="P10" s="72"/>
      <c r="Q10" s="3">
        <f t="shared" si="2"/>
        <v>0</v>
      </c>
      <c r="R10" s="72"/>
      <c r="S10" s="2">
        <f t="shared" si="3"/>
        <v>0</v>
      </c>
      <c r="T10" s="1"/>
      <c r="U10" s="1"/>
      <c r="V10" s="1">
        <v>2</v>
      </c>
      <c r="W10" s="1"/>
      <c r="X10" s="10">
        <f t="shared" si="4"/>
        <v>0</v>
      </c>
      <c r="Y10" s="1"/>
      <c r="Z10" s="1">
        <f t="shared" si="5"/>
        <v>0</v>
      </c>
      <c r="AA10" s="2"/>
      <c r="AB10" s="2"/>
      <c r="AC10" s="2">
        <v>2</v>
      </c>
      <c r="AD10" s="2"/>
      <c r="AE10" s="3">
        <f t="shared" si="6"/>
        <v>0</v>
      </c>
      <c r="AF10" s="2"/>
      <c r="AG10" s="2">
        <f t="shared" si="7"/>
        <v>0</v>
      </c>
      <c r="AH10" s="1"/>
      <c r="AI10" s="1"/>
      <c r="AJ10" s="1">
        <v>2</v>
      </c>
      <c r="AK10" s="1"/>
      <c r="AL10" s="10">
        <f t="shared" si="8"/>
        <v>0</v>
      </c>
      <c r="AM10" s="1"/>
      <c r="AN10" s="1">
        <f t="shared" si="9"/>
        <v>0</v>
      </c>
      <c r="AO10" s="2"/>
      <c r="AP10" s="2"/>
      <c r="AQ10" s="2">
        <v>2</v>
      </c>
      <c r="AR10" s="2"/>
      <c r="AS10" s="3">
        <f t="shared" si="10"/>
        <v>0</v>
      </c>
      <c r="AT10" s="2"/>
      <c r="AU10" s="2">
        <f t="shared" si="11"/>
        <v>0</v>
      </c>
      <c r="AV10" s="1"/>
      <c r="AW10" s="1"/>
      <c r="AX10" s="1">
        <v>2</v>
      </c>
      <c r="AY10" s="1"/>
      <c r="AZ10" s="10">
        <f t="shared" si="12"/>
        <v>0</v>
      </c>
      <c r="BA10" s="1"/>
      <c r="BB10" s="1">
        <f t="shared" si="13"/>
        <v>0</v>
      </c>
      <c r="BC10" s="2"/>
      <c r="BD10" s="2"/>
      <c r="BE10" s="2">
        <v>2</v>
      </c>
      <c r="BF10" s="2"/>
      <c r="BG10" s="3">
        <f t="shared" si="14"/>
        <v>0</v>
      </c>
      <c r="BH10" s="2"/>
      <c r="BI10" s="2">
        <f t="shared" si="15"/>
        <v>0</v>
      </c>
      <c r="BJ10" s="1"/>
      <c r="BK10" s="1"/>
      <c r="BL10" s="1">
        <v>2</v>
      </c>
      <c r="BM10" s="1"/>
      <c r="BN10" s="10">
        <f t="shared" si="16"/>
        <v>0</v>
      </c>
      <c r="BO10" s="1"/>
      <c r="BP10" s="1">
        <f t="shared" si="17"/>
        <v>0</v>
      </c>
      <c r="BQ10" s="2"/>
      <c r="BR10" s="2"/>
      <c r="BS10" s="2">
        <v>2</v>
      </c>
      <c r="BT10" s="2"/>
      <c r="BU10" s="3">
        <f t="shared" si="18"/>
        <v>0</v>
      </c>
      <c r="BV10" s="2"/>
      <c r="BW10" s="2">
        <f t="shared" si="19"/>
        <v>0</v>
      </c>
      <c r="BX10" s="1"/>
      <c r="BY10" s="1"/>
      <c r="BZ10" s="1">
        <v>2</v>
      </c>
      <c r="CA10" s="1"/>
      <c r="CB10" s="10">
        <f t="shared" si="20"/>
        <v>0</v>
      </c>
      <c r="CC10" s="1"/>
      <c r="CD10" s="1">
        <f t="shared" si="21"/>
        <v>0</v>
      </c>
      <c r="CE10" s="2"/>
      <c r="CF10" s="2"/>
      <c r="CG10" s="2">
        <v>2</v>
      </c>
      <c r="CH10" s="2"/>
      <c r="CI10" s="3">
        <f t="shared" si="22"/>
        <v>0</v>
      </c>
      <c r="CJ10" s="2"/>
      <c r="CK10" s="2">
        <f t="shared" si="23"/>
        <v>0</v>
      </c>
      <c r="CL10" s="1"/>
      <c r="CM10" s="1"/>
      <c r="CN10" s="1">
        <v>2</v>
      </c>
      <c r="CO10" s="1"/>
      <c r="CP10" s="10">
        <f t="shared" si="24"/>
        <v>0</v>
      </c>
      <c r="CQ10" s="1"/>
      <c r="CR10" s="1">
        <f t="shared" si="25"/>
        <v>0</v>
      </c>
      <c r="CS10" s="2"/>
      <c r="CT10" s="2"/>
      <c r="CU10" s="2">
        <v>2</v>
      </c>
      <c r="CV10" s="2"/>
      <c r="CW10" s="3">
        <f t="shared" si="26"/>
        <v>0</v>
      </c>
      <c r="CX10" s="2"/>
      <c r="CY10" s="2">
        <f t="shared" si="27"/>
        <v>0</v>
      </c>
      <c r="CZ10" s="1"/>
      <c r="DA10" s="1"/>
      <c r="DB10" s="1">
        <v>2</v>
      </c>
      <c r="DC10" s="1"/>
      <c r="DD10" s="10">
        <f t="shared" si="28"/>
        <v>0</v>
      </c>
      <c r="DE10" s="1"/>
      <c r="DF10" s="1">
        <f t="shared" si="29"/>
        <v>0</v>
      </c>
      <c r="DG10" s="2"/>
      <c r="DH10" s="2"/>
      <c r="DI10" s="2">
        <v>2</v>
      </c>
      <c r="DJ10" s="2"/>
      <c r="DK10" s="3">
        <f t="shared" si="30"/>
        <v>0</v>
      </c>
      <c r="DL10" s="2"/>
      <c r="DM10" s="2">
        <f t="shared" si="31"/>
        <v>0</v>
      </c>
      <c r="DN10" s="1"/>
      <c r="DO10" s="1"/>
      <c r="DP10" s="1">
        <v>2</v>
      </c>
      <c r="DQ10" s="1"/>
      <c r="DR10" s="10">
        <f t="shared" si="32"/>
        <v>0</v>
      </c>
      <c r="DS10" s="1"/>
      <c r="DT10" s="1">
        <f t="shared" si="33"/>
        <v>0</v>
      </c>
      <c r="DU10" s="2"/>
      <c r="DV10" s="2"/>
      <c r="DW10" s="2">
        <v>2</v>
      </c>
      <c r="DX10" s="2"/>
      <c r="DY10" s="3">
        <f t="shared" si="34"/>
        <v>0</v>
      </c>
      <c r="DZ10" s="2"/>
      <c r="EA10" s="2">
        <f t="shared" si="35"/>
        <v>0</v>
      </c>
      <c r="EB10" s="1"/>
      <c r="EC10" s="1"/>
      <c r="ED10" s="1">
        <v>2</v>
      </c>
      <c r="EE10" s="1"/>
      <c r="EF10" s="10">
        <f t="shared" si="36"/>
        <v>0</v>
      </c>
      <c r="EG10" s="1"/>
      <c r="EH10" s="1">
        <f t="shared" si="37"/>
        <v>0</v>
      </c>
      <c r="EI10" s="2"/>
      <c r="EJ10" s="2"/>
      <c r="EK10" s="2">
        <v>2</v>
      </c>
      <c r="EL10" s="2"/>
      <c r="EM10" s="3">
        <f t="shared" si="38"/>
        <v>0</v>
      </c>
      <c r="EN10" s="2"/>
      <c r="EO10" s="2">
        <f t="shared" si="39"/>
        <v>0</v>
      </c>
      <c r="EP10" s="1"/>
      <c r="EQ10" s="1"/>
      <c r="ER10" s="1">
        <v>2</v>
      </c>
      <c r="ES10" s="1"/>
      <c r="ET10" s="10">
        <f t="shared" si="40"/>
        <v>0</v>
      </c>
      <c r="EU10" s="1"/>
      <c r="EV10" s="1">
        <f t="shared" si="41"/>
        <v>0</v>
      </c>
      <c r="EW10" s="2"/>
      <c r="EX10" s="2"/>
      <c r="EY10" s="2">
        <v>2</v>
      </c>
      <c r="EZ10" s="2"/>
      <c r="FA10" s="3">
        <f t="shared" si="42"/>
        <v>0</v>
      </c>
      <c r="FB10" s="2"/>
      <c r="FC10" s="2">
        <f t="shared" si="43"/>
        <v>0</v>
      </c>
      <c r="FD10" s="1"/>
      <c r="FE10" s="1"/>
      <c r="FF10" s="1">
        <v>2</v>
      </c>
      <c r="FG10" s="1"/>
      <c r="FH10" s="10">
        <f t="shared" si="44"/>
        <v>0</v>
      </c>
      <c r="FI10" s="1"/>
      <c r="FJ10" s="1">
        <f t="shared" si="45"/>
        <v>0</v>
      </c>
      <c r="FK10" s="2"/>
      <c r="FL10" s="2"/>
      <c r="FM10" s="2">
        <v>2</v>
      </c>
      <c r="FN10" s="2"/>
      <c r="FO10" s="3">
        <f t="shared" si="46"/>
        <v>0</v>
      </c>
      <c r="FP10" s="2"/>
      <c r="FQ10" s="2">
        <f t="shared" si="47"/>
        <v>0</v>
      </c>
      <c r="FR10" s="1"/>
      <c r="FS10" s="1"/>
      <c r="FT10" s="1">
        <v>2</v>
      </c>
      <c r="FU10" s="1"/>
      <c r="FV10" s="10">
        <f t="shared" si="48"/>
        <v>0</v>
      </c>
      <c r="FW10" s="1"/>
      <c r="FX10" s="1">
        <f t="shared" si="49"/>
        <v>0</v>
      </c>
      <c r="FY10" s="2"/>
      <c r="FZ10" s="2"/>
      <c r="GA10" s="2">
        <v>2</v>
      </c>
      <c r="GB10" s="2"/>
      <c r="GC10" s="3">
        <f t="shared" si="50"/>
        <v>0</v>
      </c>
      <c r="GD10" s="2"/>
      <c r="GE10" s="2">
        <f t="shared" si="51"/>
        <v>0</v>
      </c>
      <c r="GF10" s="1"/>
      <c r="GG10" s="1"/>
      <c r="GH10" s="1">
        <v>2</v>
      </c>
      <c r="GI10" s="1"/>
      <c r="GJ10" s="10">
        <f t="shared" si="52"/>
        <v>0</v>
      </c>
      <c r="GK10" s="1"/>
      <c r="GL10" s="1">
        <f t="shared" si="53"/>
        <v>0</v>
      </c>
      <c r="GM10" s="2"/>
      <c r="GN10" s="2"/>
      <c r="GO10" s="2">
        <v>2</v>
      </c>
      <c r="GP10" s="2"/>
      <c r="GQ10" s="3">
        <f t="shared" si="54"/>
        <v>0</v>
      </c>
      <c r="GR10" s="2"/>
      <c r="GS10" s="2">
        <f t="shared" si="55"/>
        <v>0</v>
      </c>
      <c r="GT10" s="1"/>
      <c r="GU10" s="1"/>
      <c r="GV10" s="1">
        <v>2</v>
      </c>
      <c r="GW10" s="1"/>
      <c r="GX10" s="10">
        <f t="shared" si="56"/>
        <v>0</v>
      </c>
      <c r="GY10" s="1"/>
      <c r="GZ10" s="1">
        <f t="shared" si="57"/>
        <v>0</v>
      </c>
      <c r="HA10" s="2"/>
      <c r="HB10" s="2"/>
      <c r="HC10" s="2">
        <v>2</v>
      </c>
      <c r="HD10" s="2"/>
      <c r="HE10" s="3">
        <f t="shared" si="58"/>
        <v>0</v>
      </c>
      <c r="HF10" s="2"/>
      <c r="HG10" s="2">
        <f t="shared" si="59"/>
        <v>0</v>
      </c>
      <c r="HH10" s="1"/>
      <c r="HI10" s="1"/>
      <c r="HJ10" s="1">
        <v>2</v>
      </c>
      <c r="HK10" s="1"/>
      <c r="HL10" s="10">
        <f t="shared" si="60"/>
        <v>0</v>
      </c>
      <c r="HM10" s="1"/>
      <c r="HN10" s="1">
        <f t="shared" si="61"/>
        <v>0</v>
      </c>
      <c r="HO10" s="2"/>
      <c r="HP10" s="2"/>
      <c r="HQ10" s="2">
        <v>2</v>
      </c>
      <c r="HR10" s="2"/>
      <c r="HS10" s="3">
        <f t="shared" si="62"/>
        <v>0</v>
      </c>
      <c r="HT10" s="2"/>
      <c r="HU10" s="2">
        <f t="shared" si="63"/>
        <v>0</v>
      </c>
      <c r="HV10" s="1"/>
      <c r="HW10" s="1"/>
      <c r="HX10" s="1">
        <v>2</v>
      </c>
      <c r="HY10" s="1"/>
      <c r="HZ10" s="10">
        <f t="shared" si="64"/>
        <v>0</v>
      </c>
      <c r="IA10" s="1"/>
      <c r="IB10" s="1">
        <f t="shared" si="65"/>
        <v>0</v>
      </c>
      <c r="IC10" s="2"/>
      <c r="ID10" s="2"/>
      <c r="IE10" s="2">
        <v>2</v>
      </c>
      <c r="IF10" s="2"/>
      <c r="IG10" s="3">
        <f t="shared" si="66"/>
        <v>0</v>
      </c>
      <c r="IH10" s="2"/>
      <c r="II10" s="2">
        <f t="shared" si="67"/>
        <v>0</v>
      </c>
      <c r="IJ10" s="1"/>
      <c r="IK10" s="1"/>
      <c r="IL10" s="1">
        <v>2</v>
      </c>
      <c r="IM10" s="1"/>
      <c r="IN10" s="10">
        <f t="shared" si="68"/>
        <v>0</v>
      </c>
      <c r="IO10" s="1"/>
      <c r="IP10" s="1">
        <f t="shared" si="69"/>
        <v>0</v>
      </c>
    </row>
    <row r="11" spans="1:250" ht="40.5" customHeight="1">
      <c r="A11" s="69" t="s">
        <v>80</v>
      </c>
      <c r="B11" s="71" t="s">
        <v>81</v>
      </c>
      <c r="C11" s="72" t="s">
        <v>82</v>
      </c>
      <c r="D11" s="72" t="s">
        <v>83</v>
      </c>
      <c r="E11" s="72" t="s">
        <v>84</v>
      </c>
      <c r="F11" s="1"/>
      <c r="G11" s="1"/>
      <c r="H11" s="1">
        <v>2</v>
      </c>
      <c r="I11" s="68"/>
      <c r="J11" s="10">
        <f t="shared" si="1"/>
        <v>0</v>
      </c>
      <c r="K11" s="68"/>
      <c r="L11" s="1">
        <f t="shared" si="0"/>
        <v>0</v>
      </c>
      <c r="M11" s="2"/>
      <c r="N11" s="2"/>
      <c r="O11" s="2">
        <v>2</v>
      </c>
      <c r="P11" s="72"/>
      <c r="Q11" s="3">
        <f t="shared" si="2"/>
        <v>0</v>
      </c>
      <c r="R11" s="72"/>
      <c r="S11" s="2">
        <f t="shared" si="3"/>
        <v>0</v>
      </c>
      <c r="T11" s="1"/>
      <c r="U11" s="1"/>
      <c r="V11" s="1">
        <v>2</v>
      </c>
      <c r="W11" s="1"/>
      <c r="X11" s="10">
        <f t="shared" si="4"/>
        <v>0</v>
      </c>
      <c r="Y11" s="1"/>
      <c r="Z11" s="1">
        <f t="shared" si="5"/>
        <v>0</v>
      </c>
      <c r="AA11" s="2"/>
      <c r="AB11" s="2"/>
      <c r="AC11" s="2">
        <v>2</v>
      </c>
      <c r="AD11" s="2"/>
      <c r="AE11" s="3">
        <f t="shared" si="6"/>
        <v>0</v>
      </c>
      <c r="AF11" s="2"/>
      <c r="AG11" s="2">
        <f t="shared" si="7"/>
        <v>0</v>
      </c>
      <c r="AH11" s="1"/>
      <c r="AI11" s="1"/>
      <c r="AJ11" s="1">
        <v>2</v>
      </c>
      <c r="AK11" s="1"/>
      <c r="AL11" s="10">
        <f t="shared" si="8"/>
        <v>0</v>
      </c>
      <c r="AM11" s="1"/>
      <c r="AN11" s="1">
        <f t="shared" si="9"/>
        <v>0</v>
      </c>
      <c r="AO11" s="2"/>
      <c r="AP11" s="2"/>
      <c r="AQ11" s="2">
        <v>2</v>
      </c>
      <c r="AR11" s="2"/>
      <c r="AS11" s="3">
        <f t="shared" si="10"/>
        <v>0</v>
      </c>
      <c r="AT11" s="2"/>
      <c r="AU11" s="2">
        <f t="shared" si="11"/>
        <v>0</v>
      </c>
      <c r="AV11" s="1"/>
      <c r="AW11" s="1"/>
      <c r="AX11" s="1">
        <v>2</v>
      </c>
      <c r="AY11" s="1"/>
      <c r="AZ11" s="10">
        <f t="shared" si="12"/>
        <v>0</v>
      </c>
      <c r="BA11" s="1"/>
      <c r="BB11" s="1">
        <f t="shared" si="13"/>
        <v>0</v>
      </c>
      <c r="BC11" s="2"/>
      <c r="BD11" s="2"/>
      <c r="BE11" s="2">
        <v>2</v>
      </c>
      <c r="BF11" s="2"/>
      <c r="BG11" s="3">
        <f t="shared" si="14"/>
        <v>0</v>
      </c>
      <c r="BH11" s="2"/>
      <c r="BI11" s="2">
        <f t="shared" si="15"/>
        <v>0</v>
      </c>
      <c r="BJ11" s="1"/>
      <c r="BK11" s="1"/>
      <c r="BL11" s="1">
        <v>2</v>
      </c>
      <c r="BM11" s="1"/>
      <c r="BN11" s="10">
        <f t="shared" si="16"/>
        <v>0</v>
      </c>
      <c r="BO11" s="1"/>
      <c r="BP11" s="1">
        <f t="shared" si="17"/>
        <v>0</v>
      </c>
      <c r="BQ11" s="2"/>
      <c r="BR11" s="2"/>
      <c r="BS11" s="2">
        <v>2</v>
      </c>
      <c r="BT11" s="2"/>
      <c r="BU11" s="3">
        <f t="shared" si="18"/>
        <v>0</v>
      </c>
      <c r="BV11" s="2"/>
      <c r="BW11" s="2">
        <f t="shared" si="19"/>
        <v>0</v>
      </c>
      <c r="BX11" s="1"/>
      <c r="BY11" s="1"/>
      <c r="BZ11" s="1">
        <v>2</v>
      </c>
      <c r="CA11" s="1"/>
      <c r="CB11" s="10">
        <f t="shared" si="20"/>
        <v>0</v>
      </c>
      <c r="CC11" s="1"/>
      <c r="CD11" s="1">
        <f t="shared" si="21"/>
        <v>0</v>
      </c>
      <c r="CE11" s="2"/>
      <c r="CF11" s="2"/>
      <c r="CG11" s="2">
        <v>2</v>
      </c>
      <c r="CH11" s="2"/>
      <c r="CI11" s="3">
        <f t="shared" si="22"/>
        <v>0</v>
      </c>
      <c r="CJ11" s="2"/>
      <c r="CK11" s="2">
        <f t="shared" si="23"/>
        <v>0</v>
      </c>
      <c r="CL11" s="1"/>
      <c r="CM11" s="1"/>
      <c r="CN11" s="1">
        <v>2</v>
      </c>
      <c r="CO11" s="1"/>
      <c r="CP11" s="10">
        <f t="shared" si="24"/>
        <v>0</v>
      </c>
      <c r="CQ11" s="1"/>
      <c r="CR11" s="1">
        <f t="shared" si="25"/>
        <v>0</v>
      </c>
      <c r="CS11" s="2"/>
      <c r="CT11" s="2"/>
      <c r="CU11" s="2">
        <v>2</v>
      </c>
      <c r="CV11" s="2"/>
      <c r="CW11" s="3">
        <f t="shared" si="26"/>
        <v>0</v>
      </c>
      <c r="CX11" s="2"/>
      <c r="CY11" s="2">
        <f t="shared" si="27"/>
        <v>0</v>
      </c>
      <c r="CZ11" s="1"/>
      <c r="DA11" s="1"/>
      <c r="DB11" s="1">
        <v>2</v>
      </c>
      <c r="DC11" s="1"/>
      <c r="DD11" s="10">
        <f t="shared" si="28"/>
        <v>0</v>
      </c>
      <c r="DE11" s="1"/>
      <c r="DF11" s="1">
        <f t="shared" si="29"/>
        <v>0</v>
      </c>
      <c r="DG11" s="2"/>
      <c r="DH11" s="2"/>
      <c r="DI11" s="2">
        <v>2</v>
      </c>
      <c r="DJ11" s="2"/>
      <c r="DK11" s="3">
        <f t="shared" si="30"/>
        <v>0</v>
      </c>
      <c r="DL11" s="2"/>
      <c r="DM11" s="2">
        <f t="shared" si="31"/>
        <v>0</v>
      </c>
      <c r="DN11" s="1"/>
      <c r="DO11" s="1"/>
      <c r="DP11" s="1">
        <v>2</v>
      </c>
      <c r="DQ11" s="1"/>
      <c r="DR11" s="10">
        <f t="shared" si="32"/>
        <v>0</v>
      </c>
      <c r="DS11" s="1"/>
      <c r="DT11" s="1">
        <f t="shared" si="33"/>
        <v>0</v>
      </c>
      <c r="DU11" s="2"/>
      <c r="DV11" s="2"/>
      <c r="DW11" s="2">
        <v>2</v>
      </c>
      <c r="DX11" s="2"/>
      <c r="DY11" s="3">
        <f t="shared" si="34"/>
        <v>0</v>
      </c>
      <c r="DZ11" s="2"/>
      <c r="EA11" s="2">
        <f t="shared" si="35"/>
        <v>0</v>
      </c>
      <c r="EB11" s="1"/>
      <c r="EC11" s="1"/>
      <c r="ED11" s="1">
        <v>2</v>
      </c>
      <c r="EE11" s="1"/>
      <c r="EF11" s="10">
        <f t="shared" si="36"/>
        <v>0</v>
      </c>
      <c r="EG11" s="1"/>
      <c r="EH11" s="1">
        <f t="shared" si="37"/>
        <v>0</v>
      </c>
      <c r="EI11" s="2"/>
      <c r="EJ11" s="2"/>
      <c r="EK11" s="2">
        <v>2</v>
      </c>
      <c r="EL11" s="2"/>
      <c r="EM11" s="3">
        <f t="shared" si="38"/>
        <v>0</v>
      </c>
      <c r="EN11" s="2"/>
      <c r="EO11" s="2">
        <f t="shared" si="39"/>
        <v>0</v>
      </c>
      <c r="EP11" s="1"/>
      <c r="EQ11" s="1"/>
      <c r="ER11" s="1">
        <v>2</v>
      </c>
      <c r="ES11" s="1"/>
      <c r="ET11" s="10">
        <f t="shared" si="40"/>
        <v>0</v>
      </c>
      <c r="EU11" s="1"/>
      <c r="EV11" s="1">
        <f t="shared" si="41"/>
        <v>0</v>
      </c>
      <c r="EW11" s="2"/>
      <c r="EX11" s="2"/>
      <c r="EY11" s="2">
        <v>2</v>
      </c>
      <c r="EZ11" s="2"/>
      <c r="FA11" s="3">
        <f t="shared" si="42"/>
        <v>0</v>
      </c>
      <c r="FB11" s="2"/>
      <c r="FC11" s="2">
        <f t="shared" si="43"/>
        <v>0</v>
      </c>
      <c r="FD11" s="1"/>
      <c r="FE11" s="1"/>
      <c r="FF11" s="1">
        <v>2</v>
      </c>
      <c r="FG11" s="1"/>
      <c r="FH11" s="10">
        <f t="shared" si="44"/>
        <v>0</v>
      </c>
      <c r="FI11" s="1"/>
      <c r="FJ11" s="1">
        <f t="shared" si="45"/>
        <v>0</v>
      </c>
      <c r="FK11" s="2"/>
      <c r="FL11" s="2"/>
      <c r="FM11" s="2">
        <v>2</v>
      </c>
      <c r="FN11" s="2"/>
      <c r="FO11" s="3">
        <f t="shared" si="46"/>
        <v>0</v>
      </c>
      <c r="FP11" s="2"/>
      <c r="FQ11" s="2">
        <f t="shared" si="47"/>
        <v>0</v>
      </c>
      <c r="FR11" s="1"/>
      <c r="FS11" s="1"/>
      <c r="FT11" s="1">
        <v>2</v>
      </c>
      <c r="FU11" s="1"/>
      <c r="FV11" s="10">
        <f t="shared" si="48"/>
        <v>0</v>
      </c>
      <c r="FW11" s="1"/>
      <c r="FX11" s="1">
        <f t="shared" si="49"/>
        <v>0</v>
      </c>
      <c r="FY11" s="2"/>
      <c r="FZ11" s="2"/>
      <c r="GA11" s="2">
        <v>2</v>
      </c>
      <c r="GB11" s="2"/>
      <c r="GC11" s="3">
        <f t="shared" si="50"/>
        <v>0</v>
      </c>
      <c r="GD11" s="2"/>
      <c r="GE11" s="2">
        <f t="shared" si="51"/>
        <v>0</v>
      </c>
      <c r="GF11" s="1"/>
      <c r="GG11" s="1"/>
      <c r="GH11" s="1">
        <v>2</v>
      </c>
      <c r="GI11" s="1"/>
      <c r="GJ11" s="10">
        <f t="shared" si="52"/>
        <v>0</v>
      </c>
      <c r="GK11" s="1"/>
      <c r="GL11" s="1">
        <f t="shared" si="53"/>
        <v>0</v>
      </c>
      <c r="GM11" s="2"/>
      <c r="GN11" s="2"/>
      <c r="GO11" s="2">
        <v>2</v>
      </c>
      <c r="GP11" s="2"/>
      <c r="GQ11" s="3">
        <f t="shared" si="54"/>
        <v>0</v>
      </c>
      <c r="GR11" s="2"/>
      <c r="GS11" s="2">
        <f t="shared" si="55"/>
        <v>0</v>
      </c>
      <c r="GT11" s="1"/>
      <c r="GU11" s="1"/>
      <c r="GV11" s="1">
        <v>2</v>
      </c>
      <c r="GW11" s="1"/>
      <c r="GX11" s="10">
        <f t="shared" si="56"/>
        <v>0</v>
      </c>
      <c r="GY11" s="1"/>
      <c r="GZ11" s="1">
        <f t="shared" si="57"/>
        <v>0</v>
      </c>
      <c r="HA11" s="2"/>
      <c r="HB11" s="2"/>
      <c r="HC11" s="2">
        <v>2</v>
      </c>
      <c r="HD11" s="2"/>
      <c r="HE11" s="3">
        <f t="shared" si="58"/>
        <v>0</v>
      </c>
      <c r="HF11" s="2"/>
      <c r="HG11" s="2">
        <f t="shared" si="59"/>
        <v>0</v>
      </c>
      <c r="HH11" s="1"/>
      <c r="HI11" s="1"/>
      <c r="HJ11" s="1">
        <v>2</v>
      </c>
      <c r="HK11" s="1"/>
      <c r="HL11" s="10">
        <f t="shared" si="60"/>
        <v>0</v>
      </c>
      <c r="HM11" s="1"/>
      <c r="HN11" s="1">
        <f t="shared" si="61"/>
        <v>0</v>
      </c>
      <c r="HO11" s="2"/>
      <c r="HP11" s="2"/>
      <c r="HQ11" s="2">
        <v>2</v>
      </c>
      <c r="HR11" s="2"/>
      <c r="HS11" s="3">
        <f t="shared" si="62"/>
        <v>0</v>
      </c>
      <c r="HT11" s="2"/>
      <c r="HU11" s="2">
        <f t="shared" si="63"/>
        <v>0</v>
      </c>
      <c r="HV11" s="1"/>
      <c r="HW11" s="1"/>
      <c r="HX11" s="1">
        <v>2</v>
      </c>
      <c r="HY11" s="1"/>
      <c r="HZ11" s="10">
        <f t="shared" si="64"/>
        <v>0</v>
      </c>
      <c r="IA11" s="1"/>
      <c r="IB11" s="1">
        <f t="shared" si="65"/>
        <v>0</v>
      </c>
      <c r="IC11" s="2"/>
      <c r="ID11" s="2"/>
      <c r="IE11" s="2">
        <v>2</v>
      </c>
      <c r="IF11" s="2"/>
      <c r="IG11" s="3">
        <f t="shared" si="66"/>
        <v>0</v>
      </c>
      <c r="IH11" s="2"/>
      <c r="II11" s="2">
        <f t="shared" si="67"/>
        <v>0</v>
      </c>
      <c r="IJ11" s="1"/>
      <c r="IK11" s="1"/>
      <c r="IL11" s="1">
        <v>2</v>
      </c>
      <c r="IM11" s="1"/>
      <c r="IN11" s="10">
        <f t="shared" si="68"/>
        <v>0</v>
      </c>
      <c r="IO11" s="1"/>
      <c r="IP11" s="1">
        <f t="shared" si="69"/>
        <v>0</v>
      </c>
    </row>
    <row r="12" spans="1:250" ht="22.5" customHeight="1">
      <c r="A12" s="69" t="s">
        <v>85</v>
      </c>
      <c r="B12" s="71"/>
      <c r="C12" s="72" t="s">
        <v>86</v>
      </c>
      <c r="D12" s="72" t="s">
        <v>87</v>
      </c>
      <c r="E12" s="72" t="s">
        <v>88</v>
      </c>
      <c r="F12" s="1"/>
      <c r="G12" s="1"/>
      <c r="H12" s="1">
        <v>2</v>
      </c>
      <c r="I12" s="68"/>
      <c r="J12" s="10">
        <f t="shared" si="1"/>
        <v>0</v>
      </c>
      <c r="K12" s="68"/>
      <c r="L12" s="1">
        <f t="shared" si="0"/>
        <v>0</v>
      </c>
      <c r="M12" s="2"/>
      <c r="N12" s="2"/>
      <c r="O12" s="2">
        <v>2</v>
      </c>
      <c r="P12" s="72"/>
      <c r="Q12" s="3">
        <f t="shared" si="2"/>
        <v>0</v>
      </c>
      <c r="R12" s="72"/>
      <c r="S12" s="2">
        <f t="shared" si="3"/>
        <v>0</v>
      </c>
      <c r="T12" s="1"/>
      <c r="U12" s="1"/>
      <c r="V12" s="1">
        <v>2</v>
      </c>
      <c r="W12" s="1"/>
      <c r="X12" s="10">
        <f t="shared" si="4"/>
        <v>0</v>
      </c>
      <c r="Y12" s="1"/>
      <c r="Z12" s="1">
        <f t="shared" si="5"/>
        <v>0</v>
      </c>
      <c r="AA12" s="2"/>
      <c r="AB12" s="2"/>
      <c r="AC12" s="2">
        <v>2</v>
      </c>
      <c r="AD12" s="2"/>
      <c r="AE12" s="3">
        <f t="shared" si="6"/>
        <v>0</v>
      </c>
      <c r="AF12" s="2"/>
      <c r="AG12" s="2">
        <f t="shared" si="7"/>
        <v>0</v>
      </c>
      <c r="AH12" s="1"/>
      <c r="AI12" s="1"/>
      <c r="AJ12" s="1">
        <v>2</v>
      </c>
      <c r="AK12" s="1"/>
      <c r="AL12" s="10">
        <f t="shared" si="8"/>
        <v>0</v>
      </c>
      <c r="AM12" s="1"/>
      <c r="AN12" s="1">
        <f t="shared" si="9"/>
        <v>0</v>
      </c>
      <c r="AO12" s="2"/>
      <c r="AP12" s="2"/>
      <c r="AQ12" s="2">
        <v>2</v>
      </c>
      <c r="AR12" s="2"/>
      <c r="AS12" s="3">
        <f t="shared" si="10"/>
        <v>0</v>
      </c>
      <c r="AT12" s="2"/>
      <c r="AU12" s="2">
        <f t="shared" si="11"/>
        <v>0</v>
      </c>
      <c r="AV12" s="1"/>
      <c r="AW12" s="1"/>
      <c r="AX12" s="1">
        <v>2</v>
      </c>
      <c r="AY12" s="1"/>
      <c r="AZ12" s="10">
        <f t="shared" si="12"/>
        <v>0</v>
      </c>
      <c r="BA12" s="1"/>
      <c r="BB12" s="1">
        <f t="shared" si="13"/>
        <v>0</v>
      </c>
      <c r="BC12" s="2"/>
      <c r="BD12" s="2"/>
      <c r="BE12" s="2">
        <v>2</v>
      </c>
      <c r="BF12" s="2"/>
      <c r="BG12" s="3">
        <f t="shared" si="14"/>
        <v>0</v>
      </c>
      <c r="BH12" s="2"/>
      <c r="BI12" s="2">
        <f t="shared" si="15"/>
        <v>0</v>
      </c>
      <c r="BJ12" s="1"/>
      <c r="BK12" s="1"/>
      <c r="BL12" s="1">
        <v>2</v>
      </c>
      <c r="BM12" s="1"/>
      <c r="BN12" s="10">
        <f t="shared" si="16"/>
        <v>0</v>
      </c>
      <c r="BO12" s="1"/>
      <c r="BP12" s="1">
        <f t="shared" si="17"/>
        <v>0</v>
      </c>
      <c r="BQ12" s="2"/>
      <c r="BR12" s="2"/>
      <c r="BS12" s="2">
        <v>2</v>
      </c>
      <c r="BT12" s="2"/>
      <c r="BU12" s="3">
        <f t="shared" si="18"/>
        <v>0</v>
      </c>
      <c r="BV12" s="2"/>
      <c r="BW12" s="2">
        <f t="shared" si="19"/>
        <v>0</v>
      </c>
      <c r="BX12" s="1"/>
      <c r="BY12" s="1"/>
      <c r="BZ12" s="1">
        <v>2</v>
      </c>
      <c r="CA12" s="1"/>
      <c r="CB12" s="10">
        <f t="shared" si="20"/>
        <v>0</v>
      </c>
      <c r="CC12" s="1"/>
      <c r="CD12" s="1">
        <f t="shared" si="21"/>
        <v>0</v>
      </c>
      <c r="CE12" s="2"/>
      <c r="CF12" s="2"/>
      <c r="CG12" s="2">
        <v>2</v>
      </c>
      <c r="CH12" s="2"/>
      <c r="CI12" s="3">
        <f t="shared" si="22"/>
        <v>0</v>
      </c>
      <c r="CJ12" s="2"/>
      <c r="CK12" s="2">
        <f t="shared" si="23"/>
        <v>0</v>
      </c>
      <c r="CL12" s="1"/>
      <c r="CM12" s="1"/>
      <c r="CN12" s="1">
        <v>2</v>
      </c>
      <c r="CO12" s="1"/>
      <c r="CP12" s="10">
        <f t="shared" si="24"/>
        <v>0</v>
      </c>
      <c r="CQ12" s="1"/>
      <c r="CR12" s="1">
        <f t="shared" si="25"/>
        <v>0</v>
      </c>
      <c r="CS12" s="2"/>
      <c r="CT12" s="2"/>
      <c r="CU12" s="2">
        <v>2</v>
      </c>
      <c r="CV12" s="2"/>
      <c r="CW12" s="3">
        <f t="shared" si="26"/>
        <v>0</v>
      </c>
      <c r="CX12" s="2"/>
      <c r="CY12" s="2">
        <f t="shared" si="27"/>
        <v>0</v>
      </c>
      <c r="CZ12" s="1"/>
      <c r="DA12" s="1"/>
      <c r="DB12" s="1">
        <v>2</v>
      </c>
      <c r="DC12" s="1"/>
      <c r="DD12" s="10">
        <f t="shared" si="28"/>
        <v>0</v>
      </c>
      <c r="DE12" s="1"/>
      <c r="DF12" s="1">
        <f t="shared" si="29"/>
        <v>0</v>
      </c>
      <c r="DG12" s="2"/>
      <c r="DH12" s="2"/>
      <c r="DI12" s="2">
        <v>2</v>
      </c>
      <c r="DJ12" s="2"/>
      <c r="DK12" s="3">
        <f t="shared" si="30"/>
        <v>0</v>
      </c>
      <c r="DL12" s="2"/>
      <c r="DM12" s="2">
        <f t="shared" si="31"/>
        <v>0</v>
      </c>
      <c r="DN12" s="1"/>
      <c r="DO12" s="1"/>
      <c r="DP12" s="1">
        <v>2</v>
      </c>
      <c r="DQ12" s="1"/>
      <c r="DR12" s="10">
        <f t="shared" si="32"/>
        <v>0</v>
      </c>
      <c r="DS12" s="1"/>
      <c r="DT12" s="1">
        <f t="shared" si="33"/>
        <v>0</v>
      </c>
      <c r="DU12" s="2"/>
      <c r="DV12" s="2"/>
      <c r="DW12" s="2">
        <v>2</v>
      </c>
      <c r="DX12" s="2"/>
      <c r="DY12" s="3">
        <f t="shared" si="34"/>
        <v>0</v>
      </c>
      <c r="DZ12" s="2"/>
      <c r="EA12" s="2">
        <f t="shared" si="35"/>
        <v>0</v>
      </c>
      <c r="EB12" s="1"/>
      <c r="EC12" s="1"/>
      <c r="ED12" s="1">
        <v>2</v>
      </c>
      <c r="EE12" s="1"/>
      <c r="EF12" s="10">
        <f t="shared" si="36"/>
        <v>0</v>
      </c>
      <c r="EG12" s="1"/>
      <c r="EH12" s="1">
        <f t="shared" si="37"/>
        <v>0</v>
      </c>
      <c r="EI12" s="2"/>
      <c r="EJ12" s="2"/>
      <c r="EK12" s="2">
        <v>2</v>
      </c>
      <c r="EL12" s="2"/>
      <c r="EM12" s="3">
        <f t="shared" si="38"/>
        <v>0</v>
      </c>
      <c r="EN12" s="2"/>
      <c r="EO12" s="2">
        <f t="shared" si="39"/>
        <v>0</v>
      </c>
      <c r="EP12" s="1"/>
      <c r="EQ12" s="1"/>
      <c r="ER12" s="1">
        <v>2</v>
      </c>
      <c r="ES12" s="1"/>
      <c r="ET12" s="10">
        <f t="shared" si="40"/>
        <v>0</v>
      </c>
      <c r="EU12" s="1"/>
      <c r="EV12" s="1">
        <f t="shared" si="41"/>
        <v>0</v>
      </c>
      <c r="EW12" s="2"/>
      <c r="EX12" s="2"/>
      <c r="EY12" s="2">
        <v>2</v>
      </c>
      <c r="EZ12" s="2"/>
      <c r="FA12" s="3">
        <f t="shared" si="42"/>
        <v>0</v>
      </c>
      <c r="FB12" s="2"/>
      <c r="FC12" s="2">
        <f t="shared" si="43"/>
        <v>0</v>
      </c>
      <c r="FD12" s="1"/>
      <c r="FE12" s="1"/>
      <c r="FF12" s="1">
        <v>2</v>
      </c>
      <c r="FG12" s="1"/>
      <c r="FH12" s="10">
        <f t="shared" si="44"/>
        <v>0</v>
      </c>
      <c r="FI12" s="1"/>
      <c r="FJ12" s="1">
        <f t="shared" si="45"/>
        <v>0</v>
      </c>
      <c r="FK12" s="2"/>
      <c r="FL12" s="2"/>
      <c r="FM12" s="2">
        <v>2</v>
      </c>
      <c r="FN12" s="2"/>
      <c r="FO12" s="3">
        <f t="shared" si="46"/>
        <v>0</v>
      </c>
      <c r="FP12" s="2"/>
      <c r="FQ12" s="2">
        <f t="shared" si="47"/>
        <v>0</v>
      </c>
      <c r="FR12" s="1"/>
      <c r="FS12" s="1"/>
      <c r="FT12" s="1">
        <v>2</v>
      </c>
      <c r="FU12" s="1"/>
      <c r="FV12" s="10">
        <f t="shared" si="48"/>
        <v>0</v>
      </c>
      <c r="FW12" s="1"/>
      <c r="FX12" s="1">
        <f t="shared" si="49"/>
        <v>0</v>
      </c>
      <c r="FY12" s="2"/>
      <c r="FZ12" s="2"/>
      <c r="GA12" s="2">
        <v>2</v>
      </c>
      <c r="GB12" s="2"/>
      <c r="GC12" s="3">
        <f t="shared" si="50"/>
        <v>0</v>
      </c>
      <c r="GD12" s="2"/>
      <c r="GE12" s="2">
        <f t="shared" si="51"/>
        <v>0</v>
      </c>
      <c r="GF12" s="1"/>
      <c r="GG12" s="1"/>
      <c r="GH12" s="1">
        <v>2</v>
      </c>
      <c r="GI12" s="1"/>
      <c r="GJ12" s="10">
        <f t="shared" si="52"/>
        <v>0</v>
      </c>
      <c r="GK12" s="1"/>
      <c r="GL12" s="1">
        <f t="shared" si="53"/>
        <v>0</v>
      </c>
      <c r="GM12" s="2"/>
      <c r="GN12" s="2"/>
      <c r="GO12" s="2">
        <v>2</v>
      </c>
      <c r="GP12" s="2"/>
      <c r="GQ12" s="3">
        <f t="shared" si="54"/>
        <v>0</v>
      </c>
      <c r="GR12" s="2"/>
      <c r="GS12" s="2">
        <f t="shared" si="55"/>
        <v>0</v>
      </c>
      <c r="GT12" s="1"/>
      <c r="GU12" s="1"/>
      <c r="GV12" s="1">
        <v>2</v>
      </c>
      <c r="GW12" s="1"/>
      <c r="GX12" s="10">
        <f t="shared" si="56"/>
        <v>0</v>
      </c>
      <c r="GY12" s="1"/>
      <c r="GZ12" s="1">
        <f t="shared" si="57"/>
        <v>0</v>
      </c>
      <c r="HA12" s="2"/>
      <c r="HB12" s="2"/>
      <c r="HC12" s="2">
        <v>2</v>
      </c>
      <c r="HD12" s="2"/>
      <c r="HE12" s="3">
        <f t="shared" si="58"/>
        <v>0</v>
      </c>
      <c r="HF12" s="2"/>
      <c r="HG12" s="2">
        <f t="shared" si="59"/>
        <v>0</v>
      </c>
      <c r="HH12" s="1"/>
      <c r="HI12" s="1"/>
      <c r="HJ12" s="1">
        <v>2</v>
      </c>
      <c r="HK12" s="1"/>
      <c r="HL12" s="10">
        <f t="shared" si="60"/>
        <v>0</v>
      </c>
      <c r="HM12" s="1"/>
      <c r="HN12" s="1">
        <f t="shared" si="61"/>
        <v>0</v>
      </c>
      <c r="HO12" s="2"/>
      <c r="HP12" s="2"/>
      <c r="HQ12" s="2">
        <v>2</v>
      </c>
      <c r="HR12" s="2"/>
      <c r="HS12" s="3">
        <f t="shared" si="62"/>
        <v>0</v>
      </c>
      <c r="HT12" s="2"/>
      <c r="HU12" s="2">
        <f t="shared" si="63"/>
        <v>0</v>
      </c>
      <c r="HV12" s="1"/>
      <c r="HW12" s="1"/>
      <c r="HX12" s="1">
        <v>2</v>
      </c>
      <c r="HY12" s="1"/>
      <c r="HZ12" s="10">
        <f t="shared" si="64"/>
        <v>0</v>
      </c>
      <c r="IA12" s="1"/>
      <c r="IB12" s="1">
        <f t="shared" si="65"/>
        <v>0</v>
      </c>
      <c r="IC12" s="2"/>
      <c r="ID12" s="2"/>
      <c r="IE12" s="2">
        <v>2</v>
      </c>
      <c r="IF12" s="2"/>
      <c r="IG12" s="3">
        <f t="shared" si="66"/>
        <v>0</v>
      </c>
      <c r="IH12" s="2"/>
      <c r="II12" s="2">
        <f t="shared" si="67"/>
        <v>0</v>
      </c>
      <c r="IJ12" s="1"/>
      <c r="IK12" s="1"/>
      <c r="IL12" s="1">
        <v>2</v>
      </c>
      <c r="IM12" s="1"/>
      <c r="IN12" s="10">
        <f t="shared" si="68"/>
        <v>0</v>
      </c>
      <c r="IO12" s="1"/>
      <c r="IP12" s="1">
        <f t="shared" si="69"/>
        <v>0</v>
      </c>
    </row>
    <row r="13" spans="1:250" ht="57" customHeight="1">
      <c r="A13" s="69" t="s">
        <v>89</v>
      </c>
      <c r="B13" s="71" t="s">
        <v>90</v>
      </c>
      <c r="C13" s="72" t="s">
        <v>12</v>
      </c>
      <c r="D13" s="72" t="s">
        <v>91</v>
      </c>
      <c r="E13" s="72" t="s">
        <v>13</v>
      </c>
      <c r="F13" s="1"/>
      <c r="G13" s="1"/>
      <c r="H13" s="1">
        <v>2</v>
      </c>
      <c r="I13" s="68"/>
      <c r="J13" s="10">
        <f t="shared" si="1"/>
        <v>0</v>
      </c>
      <c r="K13" s="68"/>
      <c r="L13" s="1">
        <f t="shared" si="0"/>
        <v>0</v>
      </c>
      <c r="M13" s="2"/>
      <c r="N13" s="2"/>
      <c r="O13" s="2">
        <v>2</v>
      </c>
      <c r="P13" s="72"/>
      <c r="Q13" s="3">
        <f t="shared" si="2"/>
        <v>0</v>
      </c>
      <c r="R13" s="72"/>
      <c r="S13" s="2">
        <f t="shared" si="3"/>
        <v>0</v>
      </c>
      <c r="T13" s="1"/>
      <c r="U13" s="1"/>
      <c r="V13" s="1">
        <v>2</v>
      </c>
      <c r="W13" s="1"/>
      <c r="X13" s="10">
        <f t="shared" si="4"/>
        <v>0</v>
      </c>
      <c r="Y13" s="1"/>
      <c r="Z13" s="1">
        <f t="shared" si="5"/>
        <v>0</v>
      </c>
      <c r="AA13" s="2"/>
      <c r="AB13" s="2"/>
      <c r="AC13" s="2">
        <v>2</v>
      </c>
      <c r="AD13" s="2"/>
      <c r="AE13" s="3">
        <f t="shared" si="6"/>
        <v>0</v>
      </c>
      <c r="AF13" s="2"/>
      <c r="AG13" s="2">
        <f t="shared" si="7"/>
        <v>0</v>
      </c>
      <c r="AH13" s="1"/>
      <c r="AI13" s="1"/>
      <c r="AJ13" s="1">
        <v>2</v>
      </c>
      <c r="AK13" s="1"/>
      <c r="AL13" s="10">
        <f t="shared" si="8"/>
        <v>0</v>
      </c>
      <c r="AM13" s="1"/>
      <c r="AN13" s="1">
        <f t="shared" si="9"/>
        <v>0</v>
      </c>
      <c r="AO13" s="2"/>
      <c r="AP13" s="2"/>
      <c r="AQ13" s="2">
        <v>2</v>
      </c>
      <c r="AR13" s="2"/>
      <c r="AS13" s="3">
        <f t="shared" si="10"/>
        <v>0</v>
      </c>
      <c r="AT13" s="2"/>
      <c r="AU13" s="2">
        <f t="shared" si="11"/>
        <v>0</v>
      </c>
      <c r="AV13" s="1"/>
      <c r="AW13" s="1"/>
      <c r="AX13" s="1">
        <v>2</v>
      </c>
      <c r="AY13" s="1"/>
      <c r="AZ13" s="10">
        <f t="shared" si="12"/>
        <v>0</v>
      </c>
      <c r="BA13" s="1"/>
      <c r="BB13" s="1">
        <f t="shared" si="13"/>
        <v>0</v>
      </c>
      <c r="BC13" s="2"/>
      <c r="BD13" s="2"/>
      <c r="BE13" s="2">
        <v>2</v>
      </c>
      <c r="BF13" s="2"/>
      <c r="BG13" s="3">
        <f t="shared" si="14"/>
        <v>0</v>
      </c>
      <c r="BH13" s="2"/>
      <c r="BI13" s="2">
        <f t="shared" si="15"/>
        <v>0</v>
      </c>
      <c r="BJ13" s="1"/>
      <c r="BK13" s="1"/>
      <c r="BL13" s="1">
        <v>2</v>
      </c>
      <c r="BM13" s="1"/>
      <c r="BN13" s="10">
        <f t="shared" si="16"/>
        <v>0</v>
      </c>
      <c r="BO13" s="1"/>
      <c r="BP13" s="1">
        <f t="shared" si="17"/>
        <v>0</v>
      </c>
      <c r="BQ13" s="2"/>
      <c r="BR13" s="2"/>
      <c r="BS13" s="2">
        <v>2</v>
      </c>
      <c r="BT13" s="2"/>
      <c r="BU13" s="3">
        <f t="shared" si="18"/>
        <v>0</v>
      </c>
      <c r="BV13" s="2"/>
      <c r="BW13" s="2">
        <f t="shared" si="19"/>
        <v>0</v>
      </c>
      <c r="BX13" s="1"/>
      <c r="BY13" s="1"/>
      <c r="BZ13" s="1">
        <v>2</v>
      </c>
      <c r="CA13" s="1"/>
      <c r="CB13" s="10">
        <f t="shared" si="20"/>
        <v>0</v>
      </c>
      <c r="CC13" s="1"/>
      <c r="CD13" s="1">
        <f t="shared" si="21"/>
        <v>0</v>
      </c>
      <c r="CE13" s="2"/>
      <c r="CF13" s="2"/>
      <c r="CG13" s="2">
        <v>2</v>
      </c>
      <c r="CH13" s="2"/>
      <c r="CI13" s="3">
        <f t="shared" si="22"/>
        <v>0</v>
      </c>
      <c r="CJ13" s="2"/>
      <c r="CK13" s="2">
        <f t="shared" si="23"/>
        <v>0</v>
      </c>
      <c r="CL13" s="1"/>
      <c r="CM13" s="1"/>
      <c r="CN13" s="1">
        <v>2</v>
      </c>
      <c r="CO13" s="1"/>
      <c r="CP13" s="10">
        <f t="shared" si="24"/>
        <v>0</v>
      </c>
      <c r="CQ13" s="1"/>
      <c r="CR13" s="1">
        <f t="shared" si="25"/>
        <v>0</v>
      </c>
      <c r="CS13" s="2"/>
      <c r="CT13" s="2"/>
      <c r="CU13" s="2">
        <v>2</v>
      </c>
      <c r="CV13" s="2"/>
      <c r="CW13" s="3">
        <f t="shared" si="26"/>
        <v>0</v>
      </c>
      <c r="CX13" s="2"/>
      <c r="CY13" s="2">
        <f t="shared" si="27"/>
        <v>0</v>
      </c>
      <c r="CZ13" s="1"/>
      <c r="DA13" s="1"/>
      <c r="DB13" s="1">
        <v>2</v>
      </c>
      <c r="DC13" s="1"/>
      <c r="DD13" s="10">
        <f t="shared" si="28"/>
        <v>0</v>
      </c>
      <c r="DE13" s="1"/>
      <c r="DF13" s="1">
        <f t="shared" si="29"/>
        <v>0</v>
      </c>
      <c r="DG13" s="2"/>
      <c r="DH13" s="2"/>
      <c r="DI13" s="2">
        <v>2</v>
      </c>
      <c r="DJ13" s="2"/>
      <c r="DK13" s="3">
        <f t="shared" si="30"/>
        <v>0</v>
      </c>
      <c r="DL13" s="2"/>
      <c r="DM13" s="2">
        <f t="shared" si="31"/>
        <v>0</v>
      </c>
      <c r="DN13" s="1"/>
      <c r="DO13" s="1"/>
      <c r="DP13" s="1">
        <v>2</v>
      </c>
      <c r="DQ13" s="1"/>
      <c r="DR13" s="10">
        <f t="shared" si="32"/>
        <v>0</v>
      </c>
      <c r="DS13" s="1"/>
      <c r="DT13" s="1">
        <f t="shared" si="33"/>
        <v>0</v>
      </c>
      <c r="DU13" s="2"/>
      <c r="DV13" s="2"/>
      <c r="DW13" s="2">
        <v>2</v>
      </c>
      <c r="DX13" s="2"/>
      <c r="DY13" s="3">
        <f t="shared" si="34"/>
        <v>0</v>
      </c>
      <c r="DZ13" s="2"/>
      <c r="EA13" s="2">
        <f t="shared" si="35"/>
        <v>0</v>
      </c>
      <c r="EB13" s="1"/>
      <c r="EC13" s="1"/>
      <c r="ED13" s="1">
        <v>2</v>
      </c>
      <c r="EE13" s="1"/>
      <c r="EF13" s="10">
        <f t="shared" si="36"/>
        <v>0</v>
      </c>
      <c r="EG13" s="1"/>
      <c r="EH13" s="1">
        <f t="shared" si="37"/>
        <v>0</v>
      </c>
      <c r="EI13" s="2"/>
      <c r="EJ13" s="2"/>
      <c r="EK13" s="2">
        <v>2</v>
      </c>
      <c r="EL13" s="2"/>
      <c r="EM13" s="3">
        <f t="shared" si="38"/>
        <v>0</v>
      </c>
      <c r="EN13" s="2"/>
      <c r="EO13" s="2">
        <f t="shared" si="39"/>
        <v>0</v>
      </c>
      <c r="EP13" s="1"/>
      <c r="EQ13" s="1"/>
      <c r="ER13" s="1">
        <v>2</v>
      </c>
      <c r="ES13" s="1"/>
      <c r="ET13" s="10">
        <f t="shared" si="40"/>
        <v>0</v>
      </c>
      <c r="EU13" s="1"/>
      <c r="EV13" s="1">
        <f t="shared" si="41"/>
        <v>0</v>
      </c>
      <c r="EW13" s="2"/>
      <c r="EX13" s="2"/>
      <c r="EY13" s="2">
        <v>2</v>
      </c>
      <c r="EZ13" s="2"/>
      <c r="FA13" s="3">
        <f t="shared" si="42"/>
        <v>0</v>
      </c>
      <c r="FB13" s="2"/>
      <c r="FC13" s="2">
        <f t="shared" si="43"/>
        <v>0</v>
      </c>
      <c r="FD13" s="1"/>
      <c r="FE13" s="1"/>
      <c r="FF13" s="1">
        <v>2</v>
      </c>
      <c r="FG13" s="1"/>
      <c r="FH13" s="10">
        <f t="shared" si="44"/>
        <v>0</v>
      </c>
      <c r="FI13" s="1"/>
      <c r="FJ13" s="1">
        <f t="shared" si="45"/>
        <v>0</v>
      </c>
      <c r="FK13" s="2"/>
      <c r="FL13" s="2"/>
      <c r="FM13" s="2">
        <v>2</v>
      </c>
      <c r="FN13" s="2"/>
      <c r="FO13" s="3">
        <f t="shared" si="46"/>
        <v>0</v>
      </c>
      <c r="FP13" s="2"/>
      <c r="FQ13" s="2">
        <f t="shared" si="47"/>
        <v>0</v>
      </c>
      <c r="FR13" s="1"/>
      <c r="FS13" s="1"/>
      <c r="FT13" s="1">
        <v>2</v>
      </c>
      <c r="FU13" s="1"/>
      <c r="FV13" s="10">
        <f t="shared" si="48"/>
        <v>0</v>
      </c>
      <c r="FW13" s="1"/>
      <c r="FX13" s="1">
        <f t="shared" si="49"/>
        <v>0</v>
      </c>
      <c r="FY13" s="2"/>
      <c r="FZ13" s="2"/>
      <c r="GA13" s="2">
        <v>2</v>
      </c>
      <c r="GB13" s="2"/>
      <c r="GC13" s="3">
        <f t="shared" si="50"/>
        <v>0</v>
      </c>
      <c r="GD13" s="2"/>
      <c r="GE13" s="2">
        <f t="shared" si="51"/>
        <v>0</v>
      </c>
      <c r="GF13" s="1"/>
      <c r="GG13" s="1"/>
      <c r="GH13" s="1">
        <v>2</v>
      </c>
      <c r="GI13" s="1"/>
      <c r="GJ13" s="10">
        <f t="shared" si="52"/>
        <v>0</v>
      </c>
      <c r="GK13" s="1"/>
      <c r="GL13" s="1">
        <f t="shared" si="53"/>
        <v>0</v>
      </c>
      <c r="GM13" s="2"/>
      <c r="GN13" s="2"/>
      <c r="GO13" s="2">
        <v>2</v>
      </c>
      <c r="GP13" s="2"/>
      <c r="GQ13" s="3">
        <f t="shared" si="54"/>
        <v>0</v>
      </c>
      <c r="GR13" s="2"/>
      <c r="GS13" s="2">
        <f t="shared" si="55"/>
        <v>0</v>
      </c>
      <c r="GT13" s="1"/>
      <c r="GU13" s="1"/>
      <c r="GV13" s="1">
        <v>2</v>
      </c>
      <c r="GW13" s="1"/>
      <c r="GX13" s="10">
        <f t="shared" si="56"/>
        <v>0</v>
      </c>
      <c r="GY13" s="1"/>
      <c r="GZ13" s="1">
        <f t="shared" si="57"/>
        <v>0</v>
      </c>
      <c r="HA13" s="2"/>
      <c r="HB13" s="2"/>
      <c r="HC13" s="2">
        <v>2</v>
      </c>
      <c r="HD13" s="2"/>
      <c r="HE13" s="3">
        <f t="shared" si="58"/>
        <v>0</v>
      </c>
      <c r="HF13" s="2"/>
      <c r="HG13" s="2">
        <f t="shared" si="59"/>
        <v>0</v>
      </c>
      <c r="HH13" s="1"/>
      <c r="HI13" s="1"/>
      <c r="HJ13" s="1">
        <v>2</v>
      </c>
      <c r="HK13" s="1"/>
      <c r="HL13" s="10">
        <f t="shared" si="60"/>
        <v>0</v>
      </c>
      <c r="HM13" s="1"/>
      <c r="HN13" s="1">
        <f t="shared" si="61"/>
        <v>0</v>
      </c>
      <c r="HO13" s="2"/>
      <c r="HP13" s="2"/>
      <c r="HQ13" s="2">
        <v>2</v>
      </c>
      <c r="HR13" s="2"/>
      <c r="HS13" s="3">
        <f t="shared" si="62"/>
        <v>0</v>
      </c>
      <c r="HT13" s="2"/>
      <c r="HU13" s="2">
        <f t="shared" si="63"/>
        <v>0</v>
      </c>
      <c r="HV13" s="1"/>
      <c r="HW13" s="1"/>
      <c r="HX13" s="1">
        <v>2</v>
      </c>
      <c r="HY13" s="1"/>
      <c r="HZ13" s="10">
        <f t="shared" si="64"/>
        <v>0</v>
      </c>
      <c r="IA13" s="1"/>
      <c r="IB13" s="1">
        <f t="shared" si="65"/>
        <v>0</v>
      </c>
      <c r="IC13" s="2"/>
      <c r="ID13" s="2"/>
      <c r="IE13" s="2">
        <v>2</v>
      </c>
      <c r="IF13" s="2"/>
      <c r="IG13" s="3">
        <f t="shared" si="66"/>
        <v>0</v>
      </c>
      <c r="IH13" s="2"/>
      <c r="II13" s="2">
        <f t="shared" si="67"/>
        <v>0</v>
      </c>
      <c r="IJ13" s="1"/>
      <c r="IK13" s="1"/>
      <c r="IL13" s="1">
        <v>2</v>
      </c>
      <c r="IM13" s="1"/>
      <c r="IN13" s="10">
        <f t="shared" si="68"/>
        <v>0</v>
      </c>
      <c r="IO13" s="1"/>
      <c r="IP13" s="1">
        <f t="shared" si="69"/>
        <v>0</v>
      </c>
    </row>
    <row r="14" spans="1:250" s="86" customFormat="1" ht="57" customHeight="1" thickBot="1">
      <c r="A14" s="83" t="s">
        <v>92</v>
      </c>
      <c r="B14" s="84"/>
      <c r="C14" s="85"/>
      <c r="D14" s="85"/>
      <c r="E14" s="85"/>
      <c r="F14" s="85"/>
      <c r="H14" s="85">
        <f>(SUM(H4:H13))/(AVERAGE(H4:H13))</f>
        <v>10</v>
      </c>
      <c r="I14" s="85"/>
      <c r="J14" s="87">
        <f>SUM(J4:J13)/(SUM(H4:H13))</f>
        <v>0</v>
      </c>
      <c r="K14" s="85"/>
      <c r="L14" s="85" t="e">
        <f>AVERAGE(K4:K13)</f>
        <v>#DIV/0!</v>
      </c>
      <c r="M14" s="85"/>
      <c r="O14" s="85">
        <v>10</v>
      </c>
      <c r="P14" s="85"/>
      <c r="Q14" s="87">
        <f>SUM(Q4:Q13)/(SUM(O4:O13))</f>
        <v>0</v>
      </c>
      <c r="R14" s="85"/>
      <c r="S14" s="85" t="e">
        <f>AVERAGE(R4:R13)</f>
        <v>#DIV/0!</v>
      </c>
      <c r="T14" s="85"/>
      <c r="V14" s="85">
        <f>(SUM(V4:V13))/(AVERAGE(V4:V13))</f>
        <v>10</v>
      </c>
      <c r="W14" s="85"/>
      <c r="X14" s="87">
        <f>SUM(X4:X13)/(SUM(V4:V13))</f>
        <v>0</v>
      </c>
      <c r="Y14" s="85"/>
      <c r="Z14" s="85" t="e">
        <f>AVERAGE(Y4:Y13)</f>
        <v>#DIV/0!</v>
      </c>
      <c r="AA14" s="85"/>
      <c r="AC14" s="85">
        <f>(SUM(AC4:AC13))/(AVERAGE(AC4:AC13))</f>
        <v>10</v>
      </c>
      <c r="AD14" s="85"/>
      <c r="AE14" s="87">
        <f>SUM(AE4:AE13)/(SUM(AC4:AC13))</f>
        <v>0</v>
      </c>
      <c r="AF14" s="85"/>
      <c r="AG14" s="85" t="e">
        <f>AVERAGE(AF4:AF13)</f>
        <v>#DIV/0!</v>
      </c>
      <c r="AH14" s="85"/>
      <c r="AJ14" s="85">
        <f>(SUM(AJ4:AJ13))/(AVERAGE(AJ4:AJ13))</f>
        <v>10</v>
      </c>
      <c r="AK14" s="85"/>
      <c r="AL14" s="87">
        <f>SUM(AL4:AL13)/(SUM(AJ4:AJ13))</f>
        <v>0</v>
      </c>
      <c r="AM14" s="85"/>
      <c r="AN14" s="85" t="e">
        <f>AVERAGE(AM4:AM13)</f>
        <v>#DIV/0!</v>
      </c>
      <c r="AO14" s="85"/>
      <c r="AQ14" s="85">
        <f>(SUM(AQ4:AQ13))/(AVERAGE(AQ4:AQ13))</f>
        <v>10</v>
      </c>
      <c r="AR14" s="85"/>
      <c r="AS14" s="87">
        <f>SUM(AS4:AS13)/(SUM(AQ4:AQ13))</f>
        <v>0</v>
      </c>
      <c r="AT14" s="85"/>
      <c r="AU14" s="85" t="e">
        <f>AVERAGE(AT4:AT13)</f>
        <v>#DIV/0!</v>
      </c>
      <c r="AV14" s="85"/>
      <c r="AX14" s="85">
        <f>(SUM(AX4:AX13))/(AVERAGE(AX4:AX13))</f>
        <v>10</v>
      </c>
      <c r="AY14" s="85"/>
      <c r="AZ14" s="87">
        <f>SUM(AZ4:AZ13)/(SUM(AX4:AX13))</f>
        <v>0</v>
      </c>
      <c r="BA14" s="85"/>
      <c r="BB14" s="85" t="e">
        <f>AVERAGE(BA4:BA13)</f>
        <v>#DIV/0!</v>
      </c>
      <c r="BC14" s="85"/>
      <c r="BE14" s="85">
        <f>(SUM(BE4:BE13))/(AVERAGE(BE4:BE13))</f>
        <v>10</v>
      </c>
      <c r="BF14" s="85"/>
      <c r="BG14" s="87">
        <f>SUM(BG4:BG13)/(SUM(BE4:BE13))</f>
        <v>0</v>
      </c>
      <c r="BH14" s="85"/>
      <c r="BI14" s="85" t="e">
        <f>AVERAGE(BH4:BH13)</f>
        <v>#DIV/0!</v>
      </c>
      <c r="BJ14" s="85"/>
      <c r="BL14" s="85">
        <f>(SUM(BL4:BL13))/(AVERAGE(BL4:BL13))</f>
        <v>10</v>
      </c>
      <c r="BM14" s="85"/>
      <c r="BN14" s="87">
        <f>SUM(BN4:BN13)/(SUM(BL4:BL13))</f>
        <v>0</v>
      </c>
      <c r="BO14" s="85"/>
      <c r="BP14" s="85" t="e">
        <f>AVERAGE(BO4:BO13)</f>
        <v>#DIV/0!</v>
      </c>
      <c r="BQ14" s="85"/>
      <c r="BS14" s="85">
        <f>(SUM(BS4:BS13))/(AVERAGE(BS4:BS13))</f>
        <v>10</v>
      </c>
      <c r="BT14" s="85"/>
      <c r="BU14" s="87">
        <f>SUM(BU4:BU13)/(SUM(BS4:BS13))</f>
        <v>0</v>
      </c>
      <c r="BV14" s="85"/>
      <c r="BW14" s="85" t="e">
        <f>AVERAGE(BV4:BV13)</f>
        <v>#DIV/0!</v>
      </c>
      <c r="BX14" s="85"/>
      <c r="BZ14" s="85">
        <f>(SUM(BZ4:BZ13))/(AVERAGE(BZ4:BZ13))</f>
        <v>10</v>
      </c>
      <c r="CA14" s="85"/>
      <c r="CB14" s="87">
        <f>SUM(CB4:CB13)/(SUM(BZ4:BZ13))</f>
        <v>0</v>
      </c>
      <c r="CC14" s="85"/>
      <c r="CD14" s="85" t="e">
        <f>AVERAGE(CC4:CC13)</f>
        <v>#DIV/0!</v>
      </c>
      <c r="CE14" s="85"/>
      <c r="CG14" s="85">
        <f>(SUM(CG4:CG13))/(AVERAGE(CG4:CG13))</f>
        <v>10</v>
      </c>
      <c r="CH14" s="85"/>
      <c r="CI14" s="87">
        <f>SUM(CI4:CI13)/(SUM(CG4:CG13))</f>
        <v>0</v>
      </c>
      <c r="CJ14" s="85"/>
      <c r="CK14" s="85" t="e">
        <f>AVERAGE(CJ4:CJ13)</f>
        <v>#DIV/0!</v>
      </c>
      <c r="CL14" s="85"/>
      <c r="CN14" s="85">
        <f>(SUM(CN4:CN13))/(AVERAGE(CN4:CN13))</f>
        <v>10</v>
      </c>
      <c r="CO14" s="85"/>
      <c r="CP14" s="87">
        <f>SUM(CP4:CP13)/(SUM(CN4:CN13))</f>
        <v>0</v>
      </c>
      <c r="CQ14" s="85"/>
      <c r="CR14" s="85" t="e">
        <f>AVERAGE(CQ4:CQ13)</f>
        <v>#DIV/0!</v>
      </c>
      <c r="CS14" s="85"/>
      <c r="CU14" s="85">
        <f>(SUM(CU4:CU13))/(AVERAGE(CU4:CU13))</f>
        <v>10</v>
      </c>
      <c r="CV14" s="85"/>
      <c r="CW14" s="87">
        <f>SUM(CW4:CW13)/(SUM(CU4:CU13))</f>
        <v>0</v>
      </c>
      <c r="CX14" s="85"/>
      <c r="CY14" s="85" t="e">
        <f>AVERAGE(CX4:CX13)</f>
        <v>#DIV/0!</v>
      </c>
      <c r="CZ14" s="85"/>
      <c r="DB14" s="85">
        <f>(SUM(DB4:DB13))/(AVERAGE(DB4:DB13))</f>
        <v>10</v>
      </c>
      <c r="DC14" s="85"/>
      <c r="DD14" s="87">
        <f>SUM(DD4:DD13)/(SUM(DB4:DB13))</f>
        <v>0</v>
      </c>
      <c r="DE14" s="85"/>
      <c r="DF14" s="85" t="e">
        <f>AVERAGE(DE4:DE13)</f>
        <v>#DIV/0!</v>
      </c>
      <c r="DG14" s="85"/>
      <c r="DI14" s="85">
        <f>(SUM(DI4:DI13))/(AVERAGE(DI4:DI13))</f>
        <v>10</v>
      </c>
      <c r="DJ14" s="85"/>
      <c r="DK14" s="87">
        <f>SUM(DK4:DK13)/(SUM(DI4:DI13))</f>
        <v>0</v>
      </c>
      <c r="DL14" s="85"/>
      <c r="DM14" s="85" t="e">
        <f>AVERAGE(DL4:DL13)</f>
        <v>#DIV/0!</v>
      </c>
      <c r="DN14" s="85"/>
      <c r="DP14" s="85">
        <f>(SUM(DP4:DP13))/(AVERAGE(DP4:DP13))</f>
        <v>10</v>
      </c>
      <c r="DQ14" s="85"/>
      <c r="DR14" s="87">
        <f>SUM(DR4:DR13)/(SUM(DP4:DP13))</f>
        <v>0</v>
      </c>
      <c r="DS14" s="85"/>
      <c r="DT14" s="85" t="e">
        <f>AVERAGE(DS4:DS13)</f>
        <v>#DIV/0!</v>
      </c>
      <c r="DU14" s="85"/>
      <c r="DW14" s="85">
        <f>(SUM(DW4:DW13))/(AVERAGE(DW4:DW13))</f>
        <v>10</v>
      </c>
      <c r="DX14" s="85"/>
      <c r="DY14" s="87">
        <f>SUM(DY4:DY13)/(SUM(DW4:DW13))</f>
        <v>0</v>
      </c>
      <c r="DZ14" s="85"/>
      <c r="EA14" s="85" t="e">
        <f>AVERAGE(DZ4:DZ13)</f>
        <v>#DIV/0!</v>
      </c>
      <c r="EB14" s="85"/>
      <c r="ED14" s="85">
        <f>(SUM(ED4:ED13))/(AVERAGE(ED4:ED13))</f>
        <v>10</v>
      </c>
      <c r="EE14" s="85"/>
      <c r="EF14" s="87">
        <f>SUM(EF4:EF13)/(SUM(ED4:ED13))</f>
        <v>0</v>
      </c>
      <c r="EG14" s="85"/>
      <c r="EH14" s="85" t="e">
        <f>AVERAGE(EG4:EG13)</f>
        <v>#DIV/0!</v>
      </c>
      <c r="EI14" s="85"/>
      <c r="EK14" s="85">
        <f>(SUM(EK4:EK13))/(AVERAGE(EK4:EK13))</f>
        <v>10</v>
      </c>
      <c r="EL14" s="85"/>
      <c r="EM14" s="87">
        <f>SUM(EM4:EM13)/(SUM(EK4:EK13))</f>
        <v>0</v>
      </c>
      <c r="EN14" s="85"/>
      <c r="EO14" s="85" t="e">
        <f>AVERAGE(EN4:EN13)</f>
        <v>#DIV/0!</v>
      </c>
      <c r="EP14" s="85"/>
      <c r="ER14" s="85">
        <f>(SUM(ER4:ER13))/(AVERAGE(ER4:ER13))</f>
        <v>10</v>
      </c>
      <c r="ES14" s="85"/>
      <c r="ET14" s="87">
        <f>SUM(ET4:ET13)/(SUM(ER4:ER13))</f>
        <v>0</v>
      </c>
      <c r="EU14" s="85"/>
      <c r="EV14" s="85" t="e">
        <f>AVERAGE(EU4:EU13)</f>
        <v>#DIV/0!</v>
      </c>
      <c r="EW14" s="85"/>
      <c r="EY14" s="85">
        <f>(SUM(EY4:EY13))/(AVERAGE(EY4:EY13))</f>
        <v>10</v>
      </c>
      <c r="EZ14" s="85"/>
      <c r="FA14" s="87">
        <f>SUM(FA4:FA13)/(SUM(EY4:EY13))</f>
        <v>0</v>
      </c>
      <c r="FB14" s="85"/>
      <c r="FC14" s="85" t="e">
        <f>AVERAGE(FB4:FB13)</f>
        <v>#DIV/0!</v>
      </c>
      <c r="FD14" s="85"/>
      <c r="FF14" s="85">
        <f>(SUM(FF4:FF13))/(AVERAGE(FF4:FF13))</f>
        <v>10</v>
      </c>
      <c r="FG14" s="85"/>
      <c r="FH14" s="87">
        <f>SUM(FH4:FH13)/(SUM(FF4:FF13))</f>
        <v>0</v>
      </c>
      <c r="FI14" s="85"/>
      <c r="FJ14" s="85" t="e">
        <f>AVERAGE(FI4:FI13)</f>
        <v>#DIV/0!</v>
      </c>
      <c r="FK14" s="85"/>
      <c r="FM14" s="85">
        <f>(SUM(FM4:FM13))/(AVERAGE(FM4:FM13))</f>
        <v>10</v>
      </c>
      <c r="FN14" s="85"/>
      <c r="FO14" s="87">
        <f>SUM(FO4:FO13)/(SUM(FM4:FM13))</f>
        <v>0</v>
      </c>
      <c r="FP14" s="85"/>
      <c r="FQ14" s="85" t="e">
        <f>AVERAGE(FP4:FP13)</f>
        <v>#DIV/0!</v>
      </c>
      <c r="FR14" s="85"/>
      <c r="FT14" s="85">
        <f>(SUM(FT4:FT13))/(AVERAGE(FT4:FT13))</f>
        <v>10</v>
      </c>
      <c r="FU14" s="85"/>
      <c r="FV14" s="87">
        <f>SUM(FV4:FV13)/(SUM(FT4:FT13))</f>
        <v>0</v>
      </c>
      <c r="FW14" s="85"/>
      <c r="FX14" s="85" t="e">
        <f>AVERAGE(FW4:FW13)</f>
        <v>#DIV/0!</v>
      </c>
      <c r="FY14" s="85"/>
      <c r="GA14" s="85">
        <f>(SUM(GA4:GA13))/(AVERAGE(GA4:GA13))</f>
        <v>10</v>
      </c>
      <c r="GB14" s="85"/>
      <c r="GC14" s="87">
        <f>SUM(GC4:GC13)/(SUM(GA4:GA13))</f>
        <v>0</v>
      </c>
      <c r="GD14" s="85"/>
      <c r="GE14" s="85" t="e">
        <f>AVERAGE(GD4:GD13)</f>
        <v>#DIV/0!</v>
      </c>
      <c r="GF14" s="85"/>
      <c r="GH14" s="85">
        <f>(SUM(GH4:GH13))/(AVERAGE(GH4:GH13))</f>
        <v>10</v>
      </c>
      <c r="GI14" s="85"/>
      <c r="GJ14" s="87">
        <f>SUM(GJ4:GJ13)/(SUM(GH4:GH13))</f>
        <v>0</v>
      </c>
      <c r="GK14" s="85"/>
      <c r="GL14" s="85" t="e">
        <f>AVERAGE(GK4:GK13)</f>
        <v>#DIV/0!</v>
      </c>
      <c r="GM14" s="85"/>
      <c r="GO14" s="85">
        <f>(SUM(GO4:GO13))/(AVERAGE(GO4:GO13))</f>
        <v>10</v>
      </c>
      <c r="GP14" s="85"/>
      <c r="GQ14" s="87">
        <f>SUM(GQ4:GQ13)/(SUM(GO4:GO13))</f>
        <v>0</v>
      </c>
      <c r="GR14" s="85"/>
      <c r="GS14" s="85" t="e">
        <f>AVERAGE(GR4:GR13)</f>
        <v>#DIV/0!</v>
      </c>
      <c r="GT14" s="85"/>
      <c r="GV14" s="85">
        <f>(SUM(GV4:GV13))/(AVERAGE(GV4:GV13))</f>
        <v>10</v>
      </c>
      <c r="GW14" s="85"/>
      <c r="GX14" s="87">
        <f>SUM(GX4:GX13)/(SUM(GV4:GV13))</f>
        <v>0</v>
      </c>
      <c r="GY14" s="85"/>
      <c r="GZ14" s="85" t="e">
        <f>AVERAGE(GY4:GY13)</f>
        <v>#DIV/0!</v>
      </c>
      <c r="HA14" s="85"/>
      <c r="HC14" s="85">
        <f>(SUM(HC4:HC13))/(AVERAGE(HC4:HC13))</f>
        <v>10</v>
      </c>
      <c r="HD14" s="85"/>
      <c r="HE14" s="87">
        <f>SUM(HE4:HE13)/(SUM(HC4:HC13))</f>
        <v>0</v>
      </c>
      <c r="HF14" s="85"/>
      <c r="HG14" s="85" t="e">
        <f>AVERAGE(HF4:HF13)</f>
        <v>#DIV/0!</v>
      </c>
      <c r="HH14" s="85"/>
      <c r="HJ14" s="85">
        <f>(SUM(HJ4:HJ13))/(AVERAGE(HJ4:HJ13))</f>
        <v>10</v>
      </c>
      <c r="HK14" s="85"/>
      <c r="HL14" s="87">
        <f>SUM(HL4:HL13)/(SUM(HJ4:HJ13))</f>
        <v>0</v>
      </c>
      <c r="HM14" s="85"/>
      <c r="HN14" s="85" t="e">
        <f>AVERAGE(HM4:HM13)</f>
        <v>#DIV/0!</v>
      </c>
      <c r="HO14" s="85"/>
      <c r="HQ14" s="85">
        <f>(SUM(HQ4:HQ13))/(AVERAGE(HQ4:HQ13))</f>
        <v>10</v>
      </c>
      <c r="HR14" s="85"/>
      <c r="HS14" s="87">
        <f>SUM(HS4:HS13)/(SUM(HQ4:HQ13))</f>
        <v>0</v>
      </c>
      <c r="HT14" s="85"/>
      <c r="HU14" s="85" t="e">
        <f>AVERAGE(HT4:HT13)</f>
        <v>#DIV/0!</v>
      </c>
      <c r="HV14" s="85"/>
      <c r="HX14" s="85">
        <f>(SUM(HX4:HX13))/(AVERAGE(HX4:HX13))</f>
        <v>10</v>
      </c>
      <c r="HY14" s="85"/>
      <c r="HZ14" s="87">
        <f>SUM(HZ4:HZ13)/(SUM(HX4:HX13))</f>
        <v>0</v>
      </c>
      <c r="IA14" s="85"/>
      <c r="IB14" s="85" t="e">
        <f>AVERAGE(IA4:IA13)</f>
        <v>#DIV/0!</v>
      </c>
      <c r="IC14" s="85"/>
      <c r="IE14" s="85">
        <f>(SUM(IE4:IE13))/(AVERAGE(IE4:IE13))</f>
        <v>10</v>
      </c>
      <c r="IF14" s="85"/>
      <c r="IG14" s="87">
        <f>SUM(IG4:IG13)/(SUM(IE4:IE13))</f>
        <v>0</v>
      </c>
      <c r="IH14" s="85"/>
      <c r="II14" s="85" t="e">
        <f>AVERAGE(IH4:IH13)</f>
        <v>#DIV/0!</v>
      </c>
      <c r="IJ14" s="85"/>
      <c r="IL14" s="85">
        <f>(SUM(IL4:IL13))/(AVERAGE(IL4:IL13))</f>
        <v>10</v>
      </c>
      <c r="IM14" s="85"/>
      <c r="IN14" s="87">
        <f>SUM(IN4:IN13)/(SUM(IL4:IL13))</f>
        <v>0</v>
      </c>
      <c r="IO14" s="85"/>
      <c r="IP14" s="85" t="e">
        <f>AVERAGE(IO4:IO13)</f>
        <v>#DIV/0!</v>
      </c>
    </row>
    <row r="15" spans="1:250" ht="42.75">
      <c r="A15" s="117" t="s">
        <v>93</v>
      </c>
      <c r="B15" s="98"/>
      <c r="C15" s="99" t="s">
        <v>63</v>
      </c>
      <c r="D15" s="99" t="s">
        <v>62</v>
      </c>
      <c r="E15" s="99" t="s">
        <v>61</v>
      </c>
      <c r="F15" s="91" t="s">
        <v>24</v>
      </c>
      <c r="G15" s="91" t="s">
        <v>25</v>
      </c>
      <c r="H15" s="91" t="s">
        <v>0</v>
      </c>
      <c r="I15" s="91" t="s">
        <v>1</v>
      </c>
      <c r="J15" s="91" t="s">
        <v>27</v>
      </c>
      <c r="K15" s="91" t="s">
        <v>2</v>
      </c>
      <c r="L15" s="91" t="s">
        <v>28</v>
      </c>
      <c r="M15" s="91" t="s">
        <v>24</v>
      </c>
      <c r="N15" s="91" t="s">
        <v>25</v>
      </c>
      <c r="O15" s="91" t="s">
        <v>0</v>
      </c>
      <c r="P15" s="91" t="s">
        <v>1</v>
      </c>
      <c r="Q15" s="91" t="s">
        <v>27</v>
      </c>
      <c r="R15" s="91" t="s">
        <v>2</v>
      </c>
      <c r="S15" s="91" t="s">
        <v>28</v>
      </c>
      <c r="T15" s="91" t="s">
        <v>24</v>
      </c>
      <c r="U15" s="91" t="s">
        <v>25</v>
      </c>
      <c r="V15" s="91" t="s">
        <v>0</v>
      </c>
      <c r="W15" s="91" t="s">
        <v>1</v>
      </c>
      <c r="X15" s="91" t="s">
        <v>27</v>
      </c>
      <c r="Y15" s="91" t="s">
        <v>2</v>
      </c>
      <c r="Z15" s="91" t="s">
        <v>28</v>
      </c>
      <c r="AA15" s="91" t="s">
        <v>24</v>
      </c>
      <c r="AB15" s="91" t="s">
        <v>25</v>
      </c>
      <c r="AC15" s="91" t="s">
        <v>0</v>
      </c>
      <c r="AD15" s="91" t="s">
        <v>1</v>
      </c>
      <c r="AE15" s="91" t="s">
        <v>27</v>
      </c>
      <c r="AF15" s="91" t="s">
        <v>2</v>
      </c>
      <c r="AG15" s="91" t="s">
        <v>28</v>
      </c>
      <c r="AH15" s="91" t="s">
        <v>24</v>
      </c>
      <c r="AI15" s="91" t="s">
        <v>25</v>
      </c>
      <c r="AJ15" s="91" t="s">
        <v>0</v>
      </c>
      <c r="AK15" s="91" t="s">
        <v>1</v>
      </c>
      <c r="AL15" s="91" t="s">
        <v>27</v>
      </c>
      <c r="AM15" s="91" t="s">
        <v>2</v>
      </c>
      <c r="AN15" s="91" t="s">
        <v>28</v>
      </c>
      <c r="AO15" s="91" t="s">
        <v>24</v>
      </c>
      <c r="AP15" s="91" t="s">
        <v>25</v>
      </c>
      <c r="AQ15" s="91" t="s">
        <v>0</v>
      </c>
      <c r="AR15" s="91" t="s">
        <v>1</v>
      </c>
      <c r="AS15" s="91" t="s">
        <v>27</v>
      </c>
      <c r="AT15" s="91" t="s">
        <v>2</v>
      </c>
      <c r="AU15" s="91" t="s">
        <v>28</v>
      </c>
      <c r="AV15" s="91" t="s">
        <v>24</v>
      </c>
      <c r="AW15" s="91" t="s">
        <v>25</v>
      </c>
      <c r="AX15" s="91" t="s">
        <v>0</v>
      </c>
      <c r="AY15" s="91" t="s">
        <v>1</v>
      </c>
      <c r="AZ15" s="91" t="s">
        <v>27</v>
      </c>
      <c r="BA15" s="91" t="s">
        <v>2</v>
      </c>
      <c r="BB15" s="91" t="s">
        <v>28</v>
      </c>
      <c r="BC15" s="91" t="s">
        <v>24</v>
      </c>
      <c r="BD15" s="91" t="s">
        <v>25</v>
      </c>
      <c r="BE15" s="91" t="s">
        <v>0</v>
      </c>
      <c r="BF15" s="91" t="s">
        <v>1</v>
      </c>
      <c r="BG15" s="91" t="s">
        <v>27</v>
      </c>
      <c r="BH15" s="91" t="s">
        <v>2</v>
      </c>
      <c r="BI15" s="91" t="s">
        <v>28</v>
      </c>
      <c r="BJ15" s="91" t="s">
        <v>24</v>
      </c>
      <c r="BK15" s="91" t="s">
        <v>25</v>
      </c>
      <c r="BL15" s="91" t="s">
        <v>0</v>
      </c>
      <c r="BM15" s="91" t="s">
        <v>1</v>
      </c>
      <c r="BN15" s="91" t="s">
        <v>27</v>
      </c>
      <c r="BO15" s="91" t="s">
        <v>2</v>
      </c>
      <c r="BP15" s="91" t="s">
        <v>28</v>
      </c>
      <c r="BQ15" s="91" t="s">
        <v>24</v>
      </c>
      <c r="BR15" s="91" t="s">
        <v>25</v>
      </c>
      <c r="BS15" s="91" t="s">
        <v>0</v>
      </c>
      <c r="BT15" s="91" t="s">
        <v>1</v>
      </c>
      <c r="BU15" s="91" t="s">
        <v>27</v>
      </c>
      <c r="BV15" s="91" t="s">
        <v>2</v>
      </c>
      <c r="BW15" s="91" t="s">
        <v>28</v>
      </c>
      <c r="BX15" s="91" t="s">
        <v>24</v>
      </c>
      <c r="BY15" s="91" t="s">
        <v>25</v>
      </c>
      <c r="BZ15" s="91" t="s">
        <v>0</v>
      </c>
      <c r="CA15" s="91" t="s">
        <v>1</v>
      </c>
      <c r="CB15" s="91" t="s">
        <v>27</v>
      </c>
      <c r="CC15" s="91" t="s">
        <v>2</v>
      </c>
      <c r="CD15" s="91" t="s">
        <v>28</v>
      </c>
      <c r="CE15" s="91" t="s">
        <v>24</v>
      </c>
      <c r="CF15" s="91" t="s">
        <v>25</v>
      </c>
      <c r="CG15" s="91" t="s">
        <v>0</v>
      </c>
      <c r="CH15" s="91" t="s">
        <v>1</v>
      </c>
      <c r="CI15" s="91" t="s">
        <v>27</v>
      </c>
      <c r="CJ15" s="91" t="s">
        <v>2</v>
      </c>
      <c r="CK15" s="91" t="s">
        <v>28</v>
      </c>
      <c r="CL15" s="91" t="s">
        <v>24</v>
      </c>
      <c r="CM15" s="91" t="s">
        <v>25</v>
      </c>
      <c r="CN15" s="91" t="s">
        <v>0</v>
      </c>
      <c r="CO15" s="91" t="s">
        <v>1</v>
      </c>
      <c r="CP15" s="91" t="s">
        <v>27</v>
      </c>
      <c r="CQ15" s="91" t="s">
        <v>2</v>
      </c>
      <c r="CR15" s="91" t="s">
        <v>28</v>
      </c>
      <c r="CS15" s="91" t="s">
        <v>24</v>
      </c>
      <c r="CT15" s="91" t="s">
        <v>25</v>
      </c>
      <c r="CU15" s="91" t="s">
        <v>0</v>
      </c>
      <c r="CV15" s="91" t="s">
        <v>1</v>
      </c>
      <c r="CW15" s="91" t="s">
        <v>27</v>
      </c>
      <c r="CX15" s="91" t="s">
        <v>2</v>
      </c>
      <c r="CY15" s="91" t="s">
        <v>28</v>
      </c>
      <c r="CZ15" s="91" t="s">
        <v>24</v>
      </c>
      <c r="DA15" s="91" t="s">
        <v>25</v>
      </c>
      <c r="DB15" s="91" t="s">
        <v>0</v>
      </c>
      <c r="DC15" s="91" t="s">
        <v>1</v>
      </c>
      <c r="DD15" s="91" t="s">
        <v>27</v>
      </c>
      <c r="DE15" s="91" t="s">
        <v>2</v>
      </c>
      <c r="DF15" s="91" t="s">
        <v>28</v>
      </c>
      <c r="DG15" s="91" t="s">
        <v>24</v>
      </c>
      <c r="DH15" s="91" t="s">
        <v>25</v>
      </c>
      <c r="DI15" s="91" t="s">
        <v>0</v>
      </c>
      <c r="DJ15" s="91" t="s">
        <v>1</v>
      </c>
      <c r="DK15" s="91" t="s">
        <v>27</v>
      </c>
      <c r="DL15" s="91" t="s">
        <v>2</v>
      </c>
      <c r="DM15" s="91" t="s">
        <v>28</v>
      </c>
      <c r="DN15" s="91" t="s">
        <v>24</v>
      </c>
      <c r="DO15" s="91" t="s">
        <v>25</v>
      </c>
      <c r="DP15" s="91" t="s">
        <v>0</v>
      </c>
      <c r="DQ15" s="91" t="s">
        <v>1</v>
      </c>
      <c r="DR15" s="91" t="s">
        <v>27</v>
      </c>
      <c r="DS15" s="91" t="s">
        <v>2</v>
      </c>
      <c r="DT15" s="91" t="s">
        <v>28</v>
      </c>
      <c r="DU15" s="91" t="s">
        <v>24</v>
      </c>
      <c r="DV15" s="91" t="s">
        <v>25</v>
      </c>
      <c r="DW15" s="91" t="s">
        <v>0</v>
      </c>
      <c r="DX15" s="91" t="s">
        <v>1</v>
      </c>
      <c r="DY15" s="91" t="s">
        <v>27</v>
      </c>
      <c r="DZ15" s="91" t="s">
        <v>2</v>
      </c>
      <c r="EA15" s="91" t="s">
        <v>28</v>
      </c>
      <c r="EB15" s="91" t="s">
        <v>24</v>
      </c>
      <c r="EC15" s="91" t="s">
        <v>25</v>
      </c>
      <c r="ED15" s="91" t="s">
        <v>0</v>
      </c>
      <c r="EE15" s="91" t="s">
        <v>1</v>
      </c>
      <c r="EF15" s="91" t="s">
        <v>27</v>
      </c>
      <c r="EG15" s="91" t="s">
        <v>2</v>
      </c>
      <c r="EH15" s="91" t="s">
        <v>28</v>
      </c>
      <c r="EI15" s="91" t="s">
        <v>24</v>
      </c>
      <c r="EJ15" s="91" t="s">
        <v>25</v>
      </c>
      <c r="EK15" s="91" t="s">
        <v>0</v>
      </c>
      <c r="EL15" s="91" t="s">
        <v>1</v>
      </c>
      <c r="EM15" s="91" t="s">
        <v>27</v>
      </c>
      <c r="EN15" s="91" t="s">
        <v>2</v>
      </c>
      <c r="EO15" s="91" t="s">
        <v>28</v>
      </c>
      <c r="EP15" s="91" t="s">
        <v>24</v>
      </c>
      <c r="EQ15" s="91" t="s">
        <v>25</v>
      </c>
      <c r="ER15" s="91" t="s">
        <v>0</v>
      </c>
      <c r="ES15" s="91" t="s">
        <v>1</v>
      </c>
      <c r="ET15" s="91" t="s">
        <v>27</v>
      </c>
      <c r="EU15" s="91" t="s">
        <v>2</v>
      </c>
      <c r="EV15" s="91" t="s">
        <v>28</v>
      </c>
      <c r="EW15" s="91" t="s">
        <v>24</v>
      </c>
      <c r="EX15" s="91" t="s">
        <v>25</v>
      </c>
      <c r="EY15" s="91" t="s">
        <v>0</v>
      </c>
      <c r="EZ15" s="91" t="s">
        <v>1</v>
      </c>
      <c r="FA15" s="91" t="s">
        <v>27</v>
      </c>
      <c r="FB15" s="91" t="s">
        <v>2</v>
      </c>
      <c r="FC15" s="91" t="s">
        <v>28</v>
      </c>
      <c r="FD15" s="91" t="s">
        <v>24</v>
      </c>
      <c r="FE15" s="91" t="s">
        <v>25</v>
      </c>
      <c r="FF15" s="91" t="s">
        <v>0</v>
      </c>
      <c r="FG15" s="91" t="s">
        <v>1</v>
      </c>
      <c r="FH15" s="91" t="s">
        <v>27</v>
      </c>
      <c r="FI15" s="91" t="s">
        <v>2</v>
      </c>
      <c r="FJ15" s="91" t="s">
        <v>28</v>
      </c>
      <c r="FK15" s="91" t="s">
        <v>24</v>
      </c>
      <c r="FL15" s="91" t="s">
        <v>25</v>
      </c>
      <c r="FM15" s="91" t="s">
        <v>0</v>
      </c>
      <c r="FN15" s="91" t="s">
        <v>1</v>
      </c>
      <c r="FO15" s="91" t="s">
        <v>27</v>
      </c>
      <c r="FP15" s="91" t="s">
        <v>2</v>
      </c>
      <c r="FQ15" s="91" t="s">
        <v>28</v>
      </c>
      <c r="FR15" s="91" t="s">
        <v>24</v>
      </c>
      <c r="FS15" s="91" t="s">
        <v>25</v>
      </c>
      <c r="FT15" s="91" t="s">
        <v>0</v>
      </c>
      <c r="FU15" s="91" t="s">
        <v>1</v>
      </c>
      <c r="FV15" s="91" t="s">
        <v>27</v>
      </c>
      <c r="FW15" s="91" t="s">
        <v>2</v>
      </c>
      <c r="FX15" s="91" t="s">
        <v>28</v>
      </c>
      <c r="FY15" s="91" t="s">
        <v>24</v>
      </c>
      <c r="FZ15" s="91" t="s">
        <v>25</v>
      </c>
      <c r="GA15" s="91" t="s">
        <v>0</v>
      </c>
      <c r="GB15" s="91" t="s">
        <v>1</v>
      </c>
      <c r="GC15" s="91" t="s">
        <v>27</v>
      </c>
      <c r="GD15" s="91" t="s">
        <v>2</v>
      </c>
      <c r="GE15" s="91" t="s">
        <v>28</v>
      </c>
      <c r="GF15" s="91" t="s">
        <v>24</v>
      </c>
      <c r="GG15" s="91" t="s">
        <v>25</v>
      </c>
      <c r="GH15" s="91" t="s">
        <v>0</v>
      </c>
      <c r="GI15" s="91" t="s">
        <v>1</v>
      </c>
      <c r="GJ15" s="91" t="s">
        <v>27</v>
      </c>
      <c r="GK15" s="91" t="s">
        <v>2</v>
      </c>
      <c r="GL15" s="91" t="s">
        <v>28</v>
      </c>
      <c r="GM15" s="91" t="s">
        <v>24</v>
      </c>
      <c r="GN15" s="91" t="s">
        <v>25</v>
      </c>
      <c r="GO15" s="91" t="s">
        <v>0</v>
      </c>
      <c r="GP15" s="91" t="s">
        <v>1</v>
      </c>
      <c r="GQ15" s="91" t="s">
        <v>27</v>
      </c>
      <c r="GR15" s="91" t="s">
        <v>2</v>
      </c>
      <c r="GS15" s="91" t="s">
        <v>28</v>
      </c>
      <c r="GT15" s="91" t="s">
        <v>24</v>
      </c>
      <c r="GU15" s="91" t="s">
        <v>25</v>
      </c>
      <c r="GV15" s="91" t="s">
        <v>0</v>
      </c>
      <c r="GW15" s="91" t="s">
        <v>1</v>
      </c>
      <c r="GX15" s="91" t="s">
        <v>27</v>
      </c>
      <c r="GY15" s="91" t="s">
        <v>2</v>
      </c>
      <c r="GZ15" s="91" t="s">
        <v>28</v>
      </c>
      <c r="HA15" s="91" t="s">
        <v>24</v>
      </c>
      <c r="HB15" s="91" t="s">
        <v>25</v>
      </c>
      <c r="HC15" s="91" t="s">
        <v>0</v>
      </c>
      <c r="HD15" s="91" t="s">
        <v>1</v>
      </c>
      <c r="HE15" s="91" t="s">
        <v>27</v>
      </c>
      <c r="HF15" s="91" t="s">
        <v>2</v>
      </c>
      <c r="HG15" s="91" t="s">
        <v>28</v>
      </c>
      <c r="HH15" s="91" t="s">
        <v>24</v>
      </c>
      <c r="HI15" s="91" t="s">
        <v>25</v>
      </c>
      <c r="HJ15" s="91" t="s">
        <v>0</v>
      </c>
      <c r="HK15" s="91" t="s">
        <v>1</v>
      </c>
      <c r="HL15" s="91" t="s">
        <v>27</v>
      </c>
      <c r="HM15" s="91" t="s">
        <v>2</v>
      </c>
      <c r="HN15" s="91" t="s">
        <v>28</v>
      </c>
      <c r="HO15" s="91" t="s">
        <v>24</v>
      </c>
      <c r="HP15" s="91" t="s">
        <v>25</v>
      </c>
      <c r="HQ15" s="91" t="s">
        <v>0</v>
      </c>
      <c r="HR15" s="91" t="s">
        <v>1</v>
      </c>
      <c r="HS15" s="91" t="s">
        <v>27</v>
      </c>
      <c r="HT15" s="91" t="s">
        <v>2</v>
      </c>
      <c r="HU15" s="91" t="s">
        <v>28</v>
      </c>
      <c r="HV15" s="91" t="s">
        <v>24</v>
      </c>
      <c r="HW15" s="91" t="s">
        <v>25</v>
      </c>
      <c r="HX15" s="91" t="s">
        <v>0</v>
      </c>
      <c r="HY15" s="91" t="s">
        <v>1</v>
      </c>
      <c r="HZ15" s="91" t="s">
        <v>27</v>
      </c>
      <c r="IA15" s="91" t="s">
        <v>2</v>
      </c>
      <c r="IB15" s="91" t="s">
        <v>28</v>
      </c>
      <c r="IC15" s="91" t="s">
        <v>24</v>
      </c>
      <c r="ID15" s="91" t="s">
        <v>25</v>
      </c>
      <c r="IE15" s="91" t="s">
        <v>0</v>
      </c>
      <c r="IF15" s="91" t="s">
        <v>1</v>
      </c>
      <c r="IG15" s="91" t="s">
        <v>27</v>
      </c>
      <c r="IH15" s="91" t="s">
        <v>2</v>
      </c>
      <c r="II15" s="91" t="s">
        <v>28</v>
      </c>
      <c r="IJ15" s="91" t="s">
        <v>24</v>
      </c>
      <c r="IK15" s="91" t="s">
        <v>25</v>
      </c>
      <c r="IL15" s="91" t="s">
        <v>0</v>
      </c>
      <c r="IM15" s="91" t="s">
        <v>1</v>
      </c>
      <c r="IN15" s="91" t="s">
        <v>27</v>
      </c>
      <c r="IO15" s="91" t="s">
        <v>2</v>
      </c>
      <c r="IP15" s="91" t="s">
        <v>28</v>
      </c>
    </row>
    <row r="16" spans="1:250" ht="22.5" customHeight="1">
      <c r="A16" s="116" t="s">
        <v>94</v>
      </c>
      <c r="B16" s="72"/>
      <c r="C16" s="72" t="s">
        <v>95</v>
      </c>
      <c r="D16" s="72" t="s">
        <v>96</v>
      </c>
      <c r="E16" s="72" t="s">
        <v>97</v>
      </c>
      <c r="F16" s="1"/>
      <c r="G16" s="1"/>
      <c r="H16" s="1">
        <v>2</v>
      </c>
      <c r="I16" s="68"/>
      <c r="J16" s="10">
        <f aca="true" t="shared" si="70" ref="J16:J27">I16*H16</f>
        <v>0</v>
      </c>
      <c r="K16" s="68"/>
      <c r="L16" s="1">
        <f aca="true" t="shared" si="71" ref="L16:L27">K16*H16</f>
        <v>0</v>
      </c>
      <c r="M16" s="2"/>
      <c r="N16" s="2"/>
      <c r="O16" s="2">
        <v>2</v>
      </c>
      <c r="P16" s="72"/>
      <c r="Q16" s="3">
        <f>P16*O16</f>
        <v>0</v>
      </c>
      <c r="R16" s="72"/>
      <c r="S16" s="2">
        <f>R16*O16</f>
        <v>0</v>
      </c>
      <c r="T16" s="1"/>
      <c r="U16" s="1"/>
      <c r="V16" s="1">
        <v>2</v>
      </c>
      <c r="W16" s="1"/>
      <c r="X16" s="10">
        <f>W16*V16</f>
        <v>0</v>
      </c>
      <c r="Y16" s="1"/>
      <c r="Z16" s="1">
        <f>Y16*V16</f>
        <v>0</v>
      </c>
      <c r="AA16" s="2"/>
      <c r="AB16" s="2"/>
      <c r="AC16" s="2">
        <v>2</v>
      </c>
      <c r="AD16" s="2"/>
      <c r="AE16" s="3">
        <f>AD16*AC16</f>
        <v>0</v>
      </c>
      <c r="AF16" s="2"/>
      <c r="AG16" s="2">
        <f>AF16*AC16</f>
        <v>0</v>
      </c>
      <c r="AH16" s="1"/>
      <c r="AI16" s="1"/>
      <c r="AJ16" s="1">
        <v>2</v>
      </c>
      <c r="AK16" s="1"/>
      <c r="AL16" s="10">
        <f>AK16*AJ16</f>
        <v>0</v>
      </c>
      <c r="AM16" s="1"/>
      <c r="AN16" s="1">
        <f>AM16*AJ16</f>
        <v>0</v>
      </c>
      <c r="AO16" s="2"/>
      <c r="AP16" s="2"/>
      <c r="AQ16" s="2">
        <v>2</v>
      </c>
      <c r="AR16" s="2"/>
      <c r="AS16" s="3">
        <f>AR16*AQ16</f>
        <v>0</v>
      </c>
      <c r="AT16" s="2"/>
      <c r="AU16" s="2">
        <f aca="true" t="shared" si="72" ref="AU16:AU27">AT16*AQ16</f>
        <v>0</v>
      </c>
      <c r="AV16" s="1"/>
      <c r="AW16" s="1"/>
      <c r="AX16" s="1">
        <v>2</v>
      </c>
      <c r="AY16" s="1"/>
      <c r="AZ16" s="10">
        <f>AY16*AX16</f>
        <v>0</v>
      </c>
      <c r="BA16" s="1"/>
      <c r="BB16" s="1">
        <f>BA16*AX16</f>
        <v>0</v>
      </c>
      <c r="BC16" s="2"/>
      <c r="BD16" s="2"/>
      <c r="BE16" s="2">
        <v>2</v>
      </c>
      <c r="BF16" s="2"/>
      <c r="BG16" s="3">
        <f>BF16*BE16</f>
        <v>0</v>
      </c>
      <c r="BH16" s="2"/>
      <c r="BI16" s="2">
        <f>BH16*BE16</f>
        <v>0</v>
      </c>
      <c r="BJ16" s="1"/>
      <c r="BK16" s="1"/>
      <c r="BL16" s="1">
        <v>2</v>
      </c>
      <c r="BM16" s="1"/>
      <c r="BN16" s="10">
        <f>BM16*BL16</f>
        <v>0</v>
      </c>
      <c r="BO16" s="1"/>
      <c r="BP16" s="1">
        <f>BO16*BL16</f>
        <v>0</v>
      </c>
      <c r="BQ16" s="2"/>
      <c r="BR16" s="2"/>
      <c r="BS16" s="2">
        <v>2</v>
      </c>
      <c r="BT16" s="2"/>
      <c r="BU16" s="3">
        <f>BT16*BS16</f>
        <v>0</v>
      </c>
      <c r="BV16" s="2"/>
      <c r="BW16" s="2">
        <f>BV16*BS16</f>
        <v>0</v>
      </c>
      <c r="BX16" s="1"/>
      <c r="BY16" s="1"/>
      <c r="BZ16" s="1">
        <v>2</v>
      </c>
      <c r="CA16" s="1"/>
      <c r="CB16" s="10">
        <f>CA16*BZ16</f>
        <v>0</v>
      </c>
      <c r="CC16" s="1"/>
      <c r="CD16" s="1">
        <f>CC16*BZ16</f>
        <v>0</v>
      </c>
      <c r="CE16" s="2"/>
      <c r="CF16" s="2"/>
      <c r="CG16" s="2">
        <v>2</v>
      </c>
      <c r="CH16" s="2"/>
      <c r="CI16" s="3">
        <f>CH16*CG16</f>
        <v>0</v>
      </c>
      <c r="CJ16" s="2"/>
      <c r="CK16" s="2">
        <f>CJ16*CG16</f>
        <v>0</v>
      </c>
      <c r="CL16" s="1"/>
      <c r="CM16" s="1"/>
      <c r="CN16" s="1">
        <v>2</v>
      </c>
      <c r="CO16" s="1"/>
      <c r="CP16" s="10">
        <f>CO16*CN16</f>
        <v>0</v>
      </c>
      <c r="CQ16" s="1"/>
      <c r="CR16" s="1">
        <f>CQ16*CN16</f>
        <v>0</v>
      </c>
      <c r="CS16" s="2"/>
      <c r="CT16" s="2"/>
      <c r="CU16" s="2">
        <v>2</v>
      </c>
      <c r="CV16" s="2"/>
      <c r="CW16" s="3">
        <f>CV16*CU16</f>
        <v>0</v>
      </c>
      <c r="CX16" s="2"/>
      <c r="CY16" s="2">
        <f>CX16*CU16</f>
        <v>0</v>
      </c>
      <c r="CZ16" s="1"/>
      <c r="DA16" s="1"/>
      <c r="DB16" s="1">
        <v>2</v>
      </c>
      <c r="DC16" s="1"/>
      <c r="DD16" s="10">
        <f>DC16*DB16</f>
        <v>0</v>
      </c>
      <c r="DE16" s="1"/>
      <c r="DF16" s="1">
        <f>DE16*DB16</f>
        <v>0</v>
      </c>
      <c r="DG16" s="2"/>
      <c r="DH16" s="2"/>
      <c r="DI16" s="2">
        <v>2</v>
      </c>
      <c r="DJ16" s="2"/>
      <c r="DK16" s="3">
        <f>DJ16*DI16</f>
        <v>0</v>
      </c>
      <c r="DL16" s="2"/>
      <c r="DM16" s="2">
        <f>DL16*DI16</f>
        <v>0</v>
      </c>
      <c r="DN16" s="1"/>
      <c r="DO16" s="1"/>
      <c r="DP16" s="1">
        <v>2</v>
      </c>
      <c r="DQ16" s="1"/>
      <c r="DR16" s="10">
        <f>DQ16*DP16</f>
        <v>0</v>
      </c>
      <c r="DS16" s="1"/>
      <c r="DT16" s="1">
        <f>DS16*DP16</f>
        <v>0</v>
      </c>
      <c r="DU16" s="2"/>
      <c r="DV16" s="2"/>
      <c r="DW16" s="2">
        <v>2</v>
      </c>
      <c r="DX16" s="2"/>
      <c r="DY16" s="3">
        <f>DX16*DW16</f>
        <v>0</v>
      </c>
      <c r="DZ16" s="2"/>
      <c r="EA16" s="2">
        <f>DZ16*DW16</f>
        <v>0</v>
      </c>
      <c r="EB16" s="1"/>
      <c r="EC16" s="1"/>
      <c r="ED16" s="1">
        <v>2</v>
      </c>
      <c r="EE16" s="1"/>
      <c r="EF16" s="10">
        <f>EE16*ED16</f>
        <v>0</v>
      </c>
      <c r="EG16" s="1"/>
      <c r="EH16" s="1">
        <f>EG16*ED16</f>
        <v>0</v>
      </c>
      <c r="EI16" s="2"/>
      <c r="EJ16" s="2"/>
      <c r="EK16" s="2">
        <v>2</v>
      </c>
      <c r="EL16" s="2"/>
      <c r="EM16" s="3">
        <f>EL16*EK16</f>
        <v>0</v>
      </c>
      <c r="EN16" s="2"/>
      <c r="EO16" s="2">
        <f>EN16*EK16</f>
        <v>0</v>
      </c>
      <c r="EP16" s="1"/>
      <c r="EQ16" s="1"/>
      <c r="ER16" s="1">
        <v>2</v>
      </c>
      <c r="ES16" s="1"/>
      <c r="ET16" s="10">
        <f>ES16*ER16</f>
        <v>0</v>
      </c>
      <c r="EU16" s="1"/>
      <c r="EV16" s="1">
        <f>EU16*ER16</f>
        <v>0</v>
      </c>
      <c r="EW16" s="2"/>
      <c r="EX16" s="2"/>
      <c r="EY16" s="2">
        <v>2</v>
      </c>
      <c r="EZ16" s="2"/>
      <c r="FA16" s="3">
        <f>EZ16*EY16</f>
        <v>0</v>
      </c>
      <c r="FB16" s="2"/>
      <c r="FC16" s="2">
        <f>FB16*EY16</f>
        <v>0</v>
      </c>
      <c r="FD16" s="1"/>
      <c r="FE16" s="1"/>
      <c r="FF16" s="1">
        <v>2</v>
      </c>
      <c r="FG16" s="1"/>
      <c r="FH16" s="10">
        <f>FG16*FF16</f>
        <v>0</v>
      </c>
      <c r="FI16" s="1"/>
      <c r="FJ16" s="1">
        <f>FI16*FF16</f>
        <v>0</v>
      </c>
      <c r="FK16" s="2"/>
      <c r="FL16" s="2"/>
      <c r="FM16" s="2">
        <v>2</v>
      </c>
      <c r="FN16" s="2"/>
      <c r="FO16" s="3">
        <f>FN16*FM16</f>
        <v>0</v>
      </c>
      <c r="FP16" s="2"/>
      <c r="FQ16" s="2">
        <f>FP16*FM16</f>
        <v>0</v>
      </c>
      <c r="FR16" s="1"/>
      <c r="FS16" s="1"/>
      <c r="FT16" s="1">
        <v>2</v>
      </c>
      <c r="FU16" s="1"/>
      <c r="FV16" s="10">
        <f>FU16*FT16</f>
        <v>0</v>
      </c>
      <c r="FW16" s="1"/>
      <c r="FX16" s="1">
        <f>FW16*FT16</f>
        <v>0</v>
      </c>
      <c r="FY16" s="2"/>
      <c r="FZ16" s="2"/>
      <c r="GA16" s="2">
        <v>2</v>
      </c>
      <c r="GB16" s="2"/>
      <c r="GC16" s="3">
        <f>GB16*GA16</f>
        <v>0</v>
      </c>
      <c r="GD16" s="2"/>
      <c r="GE16" s="2">
        <f>GD16*GA16</f>
        <v>0</v>
      </c>
      <c r="GF16" s="1"/>
      <c r="GG16" s="1"/>
      <c r="GH16" s="1">
        <v>2</v>
      </c>
      <c r="GI16" s="1"/>
      <c r="GJ16" s="10">
        <f>GI16*GH16</f>
        <v>0</v>
      </c>
      <c r="GK16" s="1"/>
      <c r="GL16" s="1">
        <f>GK16*GH16</f>
        <v>0</v>
      </c>
      <c r="GM16" s="2"/>
      <c r="GN16" s="2"/>
      <c r="GO16" s="2">
        <v>2</v>
      </c>
      <c r="GP16" s="2"/>
      <c r="GQ16" s="3">
        <f>GP16*GO16</f>
        <v>0</v>
      </c>
      <c r="GR16" s="2"/>
      <c r="GS16" s="2">
        <f>GR16*GO16</f>
        <v>0</v>
      </c>
      <c r="GT16" s="1"/>
      <c r="GU16" s="1"/>
      <c r="GV16" s="1">
        <v>2</v>
      </c>
      <c r="GW16" s="1"/>
      <c r="GX16" s="10">
        <f>GW16*GV16</f>
        <v>0</v>
      </c>
      <c r="GY16" s="1"/>
      <c r="GZ16" s="1">
        <f>GY16*GV16</f>
        <v>0</v>
      </c>
      <c r="HA16" s="2"/>
      <c r="HB16" s="2"/>
      <c r="HC16" s="2">
        <v>2</v>
      </c>
      <c r="HD16" s="2"/>
      <c r="HE16" s="3">
        <f>HD16*HC16</f>
        <v>0</v>
      </c>
      <c r="HF16" s="2"/>
      <c r="HG16" s="2">
        <f>HF16*HC16</f>
        <v>0</v>
      </c>
      <c r="HH16" s="1"/>
      <c r="HI16" s="1"/>
      <c r="HJ16" s="1">
        <v>2</v>
      </c>
      <c r="HK16" s="1"/>
      <c r="HL16" s="10">
        <f>HK16*HJ16</f>
        <v>0</v>
      </c>
      <c r="HM16" s="1"/>
      <c r="HN16" s="1">
        <f>HM16*HJ16</f>
        <v>0</v>
      </c>
      <c r="HO16" s="2"/>
      <c r="HP16" s="2"/>
      <c r="HQ16" s="2">
        <v>2</v>
      </c>
      <c r="HR16" s="2"/>
      <c r="HS16" s="3">
        <f>HR16*HQ16</f>
        <v>0</v>
      </c>
      <c r="HT16" s="2"/>
      <c r="HU16" s="2">
        <f>HT16*HQ16</f>
        <v>0</v>
      </c>
      <c r="HV16" s="1"/>
      <c r="HW16" s="1"/>
      <c r="HX16" s="1">
        <v>2</v>
      </c>
      <c r="HY16" s="1"/>
      <c r="HZ16" s="10">
        <f>HY16*HX16</f>
        <v>0</v>
      </c>
      <c r="IA16" s="1"/>
      <c r="IB16" s="1">
        <f>IA16*HX16</f>
        <v>0</v>
      </c>
      <c r="IC16" s="2"/>
      <c r="ID16" s="2"/>
      <c r="IE16" s="2">
        <v>2</v>
      </c>
      <c r="IF16" s="2"/>
      <c r="IG16" s="3">
        <f>IF16*IE16</f>
        <v>0</v>
      </c>
      <c r="IH16" s="2"/>
      <c r="II16" s="2">
        <f>IH16*IE16</f>
        <v>0</v>
      </c>
      <c r="IJ16" s="1"/>
      <c r="IK16" s="1"/>
      <c r="IL16" s="1">
        <v>2</v>
      </c>
      <c r="IM16" s="1"/>
      <c r="IN16" s="10">
        <f>IM16*IL16</f>
        <v>0</v>
      </c>
      <c r="IO16" s="1"/>
      <c r="IP16" s="1">
        <f>IO16*IL16</f>
        <v>0</v>
      </c>
    </row>
    <row r="17" spans="1:250" ht="22.5" customHeight="1">
      <c r="A17" s="116" t="s">
        <v>98</v>
      </c>
      <c r="B17" s="72"/>
      <c r="C17" s="72" t="s">
        <v>99</v>
      </c>
      <c r="D17" s="72" t="s">
        <v>100</v>
      </c>
      <c r="E17" s="72" t="s">
        <v>101</v>
      </c>
      <c r="F17" s="1"/>
      <c r="G17" s="1"/>
      <c r="H17" s="1">
        <v>2</v>
      </c>
      <c r="I17" s="68"/>
      <c r="J17" s="10">
        <f t="shared" si="70"/>
        <v>0</v>
      </c>
      <c r="K17" s="68"/>
      <c r="L17" s="1">
        <f t="shared" si="71"/>
        <v>0</v>
      </c>
      <c r="M17" s="2"/>
      <c r="N17" s="2"/>
      <c r="O17" s="2">
        <v>2</v>
      </c>
      <c r="P17" s="72"/>
      <c r="Q17" s="3">
        <f aca="true" t="shared" si="73" ref="Q17:Q27">P17*O17</f>
        <v>0</v>
      </c>
      <c r="R17" s="72"/>
      <c r="S17" s="2">
        <f aca="true" t="shared" si="74" ref="S17:S27">R17*O17</f>
        <v>0</v>
      </c>
      <c r="T17" s="1"/>
      <c r="U17" s="1"/>
      <c r="V17" s="1">
        <v>2</v>
      </c>
      <c r="W17" s="1"/>
      <c r="X17" s="10">
        <f aca="true" t="shared" si="75" ref="X17:X27">W17*V17</f>
        <v>0</v>
      </c>
      <c r="Y17" s="1"/>
      <c r="Z17" s="1">
        <f aca="true" t="shared" si="76" ref="Z17:Z27">Y17*V17</f>
        <v>0</v>
      </c>
      <c r="AA17" s="2"/>
      <c r="AB17" s="2"/>
      <c r="AC17" s="2">
        <v>2</v>
      </c>
      <c r="AD17" s="2"/>
      <c r="AE17" s="3">
        <f aca="true" t="shared" si="77" ref="AE17:AE27">AD17*AC17</f>
        <v>0</v>
      </c>
      <c r="AF17" s="2"/>
      <c r="AG17" s="2">
        <f aca="true" t="shared" si="78" ref="AG17:AG27">AF17*AC17</f>
        <v>0</v>
      </c>
      <c r="AH17" s="1"/>
      <c r="AI17" s="1"/>
      <c r="AJ17" s="1">
        <v>2</v>
      </c>
      <c r="AK17" s="1"/>
      <c r="AL17" s="10">
        <f aca="true" t="shared" si="79" ref="AL17:AL27">AK17*AJ17</f>
        <v>0</v>
      </c>
      <c r="AM17" s="1"/>
      <c r="AN17" s="1">
        <f aca="true" t="shared" si="80" ref="AN17:AN27">AM17*AJ17</f>
        <v>0</v>
      </c>
      <c r="AO17" s="2"/>
      <c r="AP17" s="2"/>
      <c r="AQ17" s="2">
        <v>2</v>
      </c>
      <c r="AR17" s="2"/>
      <c r="AS17" s="3">
        <f aca="true" t="shared" si="81" ref="AS17:AS27">AR17*AQ17</f>
        <v>0</v>
      </c>
      <c r="AT17" s="2"/>
      <c r="AU17" s="2">
        <f t="shared" si="72"/>
        <v>0</v>
      </c>
      <c r="AV17" s="1"/>
      <c r="AW17" s="1"/>
      <c r="AX17" s="1">
        <v>2</v>
      </c>
      <c r="AY17" s="1"/>
      <c r="AZ17" s="10">
        <f aca="true" t="shared" si="82" ref="AZ17:AZ27">AY17*AX17</f>
        <v>0</v>
      </c>
      <c r="BA17" s="1"/>
      <c r="BB17" s="1">
        <f aca="true" t="shared" si="83" ref="BB17:BB27">BA17*AX17</f>
        <v>0</v>
      </c>
      <c r="BC17" s="2"/>
      <c r="BD17" s="2"/>
      <c r="BE17" s="2">
        <v>2</v>
      </c>
      <c r="BF17" s="2"/>
      <c r="BG17" s="3">
        <f aca="true" t="shared" si="84" ref="BG17:BG27">BF17*BE17</f>
        <v>0</v>
      </c>
      <c r="BH17" s="2"/>
      <c r="BI17" s="2">
        <f aca="true" t="shared" si="85" ref="BI17:BI27">BH17*BE17</f>
        <v>0</v>
      </c>
      <c r="BJ17" s="1"/>
      <c r="BK17" s="1"/>
      <c r="BL17" s="1">
        <v>2</v>
      </c>
      <c r="BM17" s="1"/>
      <c r="BN17" s="10">
        <f aca="true" t="shared" si="86" ref="BN17:BN27">BM17*BL17</f>
        <v>0</v>
      </c>
      <c r="BO17" s="1"/>
      <c r="BP17" s="1">
        <f aca="true" t="shared" si="87" ref="BP17:BP27">BO17*BL17</f>
        <v>0</v>
      </c>
      <c r="BQ17" s="2"/>
      <c r="BR17" s="2"/>
      <c r="BS17" s="2">
        <v>2</v>
      </c>
      <c r="BT17" s="2"/>
      <c r="BU17" s="3">
        <f aca="true" t="shared" si="88" ref="BU17:BU27">BT17*BS17</f>
        <v>0</v>
      </c>
      <c r="BV17" s="2"/>
      <c r="BW17" s="2">
        <f aca="true" t="shared" si="89" ref="BW17:BW27">BV17*BS17</f>
        <v>0</v>
      </c>
      <c r="BX17" s="1"/>
      <c r="BY17" s="1"/>
      <c r="BZ17" s="1">
        <v>2</v>
      </c>
      <c r="CA17" s="1"/>
      <c r="CB17" s="10">
        <f aca="true" t="shared" si="90" ref="CB17:CB27">CA17*BZ17</f>
        <v>0</v>
      </c>
      <c r="CC17" s="1"/>
      <c r="CD17" s="1">
        <f aca="true" t="shared" si="91" ref="CD17:CD27">CC17*BZ17</f>
        <v>0</v>
      </c>
      <c r="CE17" s="2"/>
      <c r="CF17" s="2"/>
      <c r="CG17" s="2">
        <v>2</v>
      </c>
      <c r="CH17" s="2"/>
      <c r="CI17" s="3">
        <f aca="true" t="shared" si="92" ref="CI17:CI27">CH17*CG17</f>
        <v>0</v>
      </c>
      <c r="CJ17" s="2"/>
      <c r="CK17" s="2">
        <f aca="true" t="shared" si="93" ref="CK17:CK27">CJ17*CG17</f>
        <v>0</v>
      </c>
      <c r="CL17" s="1"/>
      <c r="CM17" s="1"/>
      <c r="CN17" s="1">
        <v>2</v>
      </c>
      <c r="CO17" s="1"/>
      <c r="CP17" s="10">
        <f aca="true" t="shared" si="94" ref="CP17:CP27">CO17*CN17</f>
        <v>0</v>
      </c>
      <c r="CQ17" s="1"/>
      <c r="CR17" s="1">
        <f aca="true" t="shared" si="95" ref="CR17:CR27">CQ17*CN17</f>
        <v>0</v>
      </c>
      <c r="CS17" s="2"/>
      <c r="CT17" s="2"/>
      <c r="CU17" s="2">
        <v>2</v>
      </c>
      <c r="CV17" s="2"/>
      <c r="CW17" s="3">
        <f aca="true" t="shared" si="96" ref="CW17:CW27">CV17*CU17</f>
        <v>0</v>
      </c>
      <c r="CX17" s="2"/>
      <c r="CY17" s="2">
        <f aca="true" t="shared" si="97" ref="CY17:CY27">CX17*CU17</f>
        <v>0</v>
      </c>
      <c r="CZ17" s="1"/>
      <c r="DA17" s="1"/>
      <c r="DB17" s="1">
        <v>2</v>
      </c>
      <c r="DC17" s="1"/>
      <c r="DD17" s="10">
        <f aca="true" t="shared" si="98" ref="DD17:DD27">DC17*DB17</f>
        <v>0</v>
      </c>
      <c r="DE17" s="1"/>
      <c r="DF17" s="1">
        <f aca="true" t="shared" si="99" ref="DF17:DF27">DE17*DB17</f>
        <v>0</v>
      </c>
      <c r="DG17" s="2"/>
      <c r="DH17" s="2"/>
      <c r="DI17" s="2">
        <v>2</v>
      </c>
      <c r="DJ17" s="2"/>
      <c r="DK17" s="3">
        <f aca="true" t="shared" si="100" ref="DK17:DK27">DJ17*DI17</f>
        <v>0</v>
      </c>
      <c r="DL17" s="2"/>
      <c r="DM17" s="2">
        <f aca="true" t="shared" si="101" ref="DM17:DM27">DL17*DI17</f>
        <v>0</v>
      </c>
      <c r="DN17" s="1"/>
      <c r="DO17" s="1"/>
      <c r="DP17" s="1">
        <v>2</v>
      </c>
      <c r="DQ17" s="1"/>
      <c r="DR17" s="10">
        <f aca="true" t="shared" si="102" ref="DR17:DR27">DQ17*DP17</f>
        <v>0</v>
      </c>
      <c r="DS17" s="1"/>
      <c r="DT17" s="1">
        <f aca="true" t="shared" si="103" ref="DT17:DT27">DS17*DP17</f>
        <v>0</v>
      </c>
      <c r="DU17" s="2"/>
      <c r="DV17" s="2"/>
      <c r="DW17" s="2">
        <v>2</v>
      </c>
      <c r="DX17" s="2"/>
      <c r="DY17" s="3">
        <f aca="true" t="shared" si="104" ref="DY17:DY27">DX17*DW17</f>
        <v>0</v>
      </c>
      <c r="DZ17" s="2"/>
      <c r="EA17" s="2">
        <f aca="true" t="shared" si="105" ref="EA17:EA27">DZ17*DW17</f>
        <v>0</v>
      </c>
      <c r="EB17" s="1"/>
      <c r="EC17" s="1"/>
      <c r="ED17" s="1">
        <v>2</v>
      </c>
      <c r="EE17" s="1"/>
      <c r="EF17" s="10">
        <f aca="true" t="shared" si="106" ref="EF17:EF27">EE17*ED17</f>
        <v>0</v>
      </c>
      <c r="EG17" s="1"/>
      <c r="EH17" s="1">
        <f aca="true" t="shared" si="107" ref="EH17:EH27">EG17*ED17</f>
        <v>0</v>
      </c>
      <c r="EI17" s="2"/>
      <c r="EJ17" s="2"/>
      <c r="EK17" s="2">
        <v>2</v>
      </c>
      <c r="EL17" s="2"/>
      <c r="EM17" s="3">
        <f aca="true" t="shared" si="108" ref="EM17:EM27">EL17*EK17</f>
        <v>0</v>
      </c>
      <c r="EN17" s="2"/>
      <c r="EO17" s="2">
        <f aca="true" t="shared" si="109" ref="EO17:EO27">EN17*EK17</f>
        <v>0</v>
      </c>
      <c r="EP17" s="1"/>
      <c r="EQ17" s="1"/>
      <c r="ER17" s="1">
        <v>2</v>
      </c>
      <c r="ES17" s="1"/>
      <c r="ET17" s="10">
        <f aca="true" t="shared" si="110" ref="ET17:ET27">ES17*ER17</f>
        <v>0</v>
      </c>
      <c r="EU17" s="1"/>
      <c r="EV17" s="1">
        <f aca="true" t="shared" si="111" ref="EV17:EV27">EU17*ER17</f>
        <v>0</v>
      </c>
      <c r="EW17" s="2"/>
      <c r="EX17" s="2"/>
      <c r="EY17" s="2">
        <v>2</v>
      </c>
      <c r="EZ17" s="2"/>
      <c r="FA17" s="3">
        <f aca="true" t="shared" si="112" ref="FA17:FA27">EZ17*EY17</f>
        <v>0</v>
      </c>
      <c r="FB17" s="2"/>
      <c r="FC17" s="2">
        <f aca="true" t="shared" si="113" ref="FC17:FC27">FB17*EY17</f>
        <v>0</v>
      </c>
      <c r="FD17" s="1"/>
      <c r="FE17" s="1"/>
      <c r="FF17" s="1">
        <v>2</v>
      </c>
      <c r="FG17" s="1"/>
      <c r="FH17" s="10">
        <f aca="true" t="shared" si="114" ref="FH17:FH27">FG17*FF17</f>
        <v>0</v>
      </c>
      <c r="FI17" s="1"/>
      <c r="FJ17" s="1">
        <f aca="true" t="shared" si="115" ref="FJ17:FJ27">FI17*FF17</f>
        <v>0</v>
      </c>
      <c r="FK17" s="2"/>
      <c r="FL17" s="2"/>
      <c r="FM17" s="2">
        <v>2</v>
      </c>
      <c r="FN17" s="2"/>
      <c r="FO17" s="3">
        <f aca="true" t="shared" si="116" ref="FO17:FO27">FN17*FM17</f>
        <v>0</v>
      </c>
      <c r="FP17" s="2"/>
      <c r="FQ17" s="2">
        <f aca="true" t="shared" si="117" ref="FQ17:FQ27">FP17*FM17</f>
        <v>0</v>
      </c>
      <c r="FR17" s="1"/>
      <c r="FS17" s="1"/>
      <c r="FT17" s="1">
        <v>2</v>
      </c>
      <c r="FU17" s="1"/>
      <c r="FV17" s="10">
        <f aca="true" t="shared" si="118" ref="FV17:FV27">FU17*FT17</f>
        <v>0</v>
      </c>
      <c r="FW17" s="1"/>
      <c r="FX17" s="1">
        <f aca="true" t="shared" si="119" ref="FX17:FX27">FW17*FT17</f>
        <v>0</v>
      </c>
      <c r="FY17" s="2"/>
      <c r="FZ17" s="2"/>
      <c r="GA17" s="2">
        <v>2</v>
      </c>
      <c r="GB17" s="2"/>
      <c r="GC17" s="3">
        <f aca="true" t="shared" si="120" ref="GC17:GC27">GB17*GA17</f>
        <v>0</v>
      </c>
      <c r="GD17" s="2"/>
      <c r="GE17" s="2">
        <f aca="true" t="shared" si="121" ref="GE17:GE27">GD17*GA17</f>
        <v>0</v>
      </c>
      <c r="GF17" s="1"/>
      <c r="GG17" s="1"/>
      <c r="GH17" s="1">
        <v>2</v>
      </c>
      <c r="GI17" s="1"/>
      <c r="GJ17" s="10">
        <f aca="true" t="shared" si="122" ref="GJ17:GJ27">GI17*GH17</f>
        <v>0</v>
      </c>
      <c r="GK17" s="1"/>
      <c r="GL17" s="1">
        <f aca="true" t="shared" si="123" ref="GL17:GL27">GK17*GH17</f>
        <v>0</v>
      </c>
      <c r="GM17" s="2"/>
      <c r="GN17" s="2"/>
      <c r="GO17" s="2">
        <v>2</v>
      </c>
      <c r="GP17" s="2"/>
      <c r="GQ17" s="3">
        <f aca="true" t="shared" si="124" ref="GQ17:GQ27">GP17*GO17</f>
        <v>0</v>
      </c>
      <c r="GR17" s="2"/>
      <c r="GS17" s="2">
        <f aca="true" t="shared" si="125" ref="GS17:GS27">GR17*GO17</f>
        <v>0</v>
      </c>
      <c r="GT17" s="1"/>
      <c r="GU17" s="1"/>
      <c r="GV17" s="1">
        <v>2</v>
      </c>
      <c r="GW17" s="1"/>
      <c r="GX17" s="10">
        <f aca="true" t="shared" si="126" ref="GX17:GX27">GW17*GV17</f>
        <v>0</v>
      </c>
      <c r="GY17" s="1"/>
      <c r="GZ17" s="1">
        <f aca="true" t="shared" si="127" ref="GZ17:GZ27">GY17*GV17</f>
        <v>0</v>
      </c>
      <c r="HA17" s="2"/>
      <c r="HB17" s="2"/>
      <c r="HC17" s="2">
        <v>2</v>
      </c>
      <c r="HD17" s="2"/>
      <c r="HE17" s="3">
        <f aca="true" t="shared" si="128" ref="HE17:HE27">HD17*HC17</f>
        <v>0</v>
      </c>
      <c r="HF17" s="2"/>
      <c r="HG17" s="2">
        <f aca="true" t="shared" si="129" ref="HG17:HG27">HF17*HC17</f>
        <v>0</v>
      </c>
      <c r="HH17" s="1"/>
      <c r="HI17" s="1"/>
      <c r="HJ17" s="1">
        <v>2</v>
      </c>
      <c r="HK17" s="1"/>
      <c r="HL17" s="10">
        <f aca="true" t="shared" si="130" ref="HL17:HL27">HK17*HJ17</f>
        <v>0</v>
      </c>
      <c r="HM17" s="1"/>
      <c r="HN17" s="1">
        <f aca="true" t="shared" si="131" ref="HN17:HN27">HM17*HJ17</f>
        <v>0</v>
      </c>
      <c r="HO17" s="2"/>
      <c r="HP17" s="2"/>
      <c r="HQ17" s="2">
        <v>2</v>
      </c>
      <c r="HR17" s="2"/>
      <c r="HS17" s="3">
        <f aca="true" t="shared" si="132" ref="HS17:HS27">HR17*HQ17</f>
        <v>0</v>
      </c>
      <c r="HT17" s="2"/>
      <c r="HU17" s="2">
        <f aca="true" t="shared" si="133" ref="HU17:HU27">HT17*HQ17</f>
        <v>0</v>
      </c>
      <c r="HV17" s="1"/>
      <c r="HW17" s="1"/>
      <c r="HX17" s="1">
        <v>2</v>
      </c>
      <c r="HY17" s="1"/>
      <c r="HZ17" s="10">
        <f aca="true" t="shared" si="134" ref="HZ17:HZ27">HY17*HX17</f>
        <v>0</v>
      </c>
      <c r="IA17" s="1"/>
      <c r="IB17" s="1">
        <f aca="true" t="shared" si="135" ref="IB17:IB27">IA17*HX17</f>
        <v>0</v>
      </c>
      <c r="IC17" s="2"/>
      <c r="ID17" s="2"/>
      <c r="IE17" s="2">
        <v>2</v>
      </c>
      <c r="IF17" s="2"/>
      <c r="IG17" s="3">
        <f aca="true" t="shared" si="136" ref="IG17:IG27">IF17*IE17</f>
        <v>0</v>
      </c>
      <c r="IH17" s="2"/>
      <c r="II17" s="2">
        <f aca="true" t="shared" si="137" ref="II17:II27">IH17*IE17</f>
        <v>0</v>
      </c>
      <c r="IJ17" s="1"/>
      <c r="IK17" s="1"/>
      <c r="IL17" s="1">
        <v>2</v>
      </c>
      <c r="IM17" s="1"/>
      <c r="IN17" s="10">
        <f aca="true" t="shared" si="138" ref="IN17:IN27">IM17*IL17</f>
        <v>0</v>
      </c>
      <c r="IO17" s="1"/>
      <c r="IP17" s="1">
        <f aca="true" t="shared" si="139" ref="IP17:IP27">IO17*IL17</f>
        <v>0</v>
      </c>
    </row>
    <row r="18" spans="1:250" ht="32.25" customHeight="1">
      <c r="A18" s="116" t="s">
        <v>102</v>
      </c>
      <c r="B18" s="72"/>
      <c r="C18" s="72" t="s">
        <v>103</v>
      </c>
      <c r="D18" s="72" t="s">
        <v>104</v>
      </c>
      <c r="E18" s="72" t="s">
        <v>105</v>
      </c>
      <c r="F18" s="1"/>
      <c r="G18" s="1"/>
      <c r="H18" s="1">
        <v>2</v>
      </c>
      <c r="I18" s="68"/>
      <c r="J18" s="10">
        <f t="shared" si="70"/>
        <v>0</v>
      </c>
      <c r="K18" s="68"/>
      <c r="L18" s="1">
        <f t="shared" si="71"/>
        <v>0</v>
      </c>
      <c r="M18" s="2"/>
      <c r="N18" s="2"/>
      <c r="O18" s="2">
        <v>2</v>
      </c>
      <c r="P18" s="72"/>
      <c r="Q18" s="3">
        <f t="shared" si="73"/>
        <v>0</v>
      </c>
      <c r="R18" s="72"/>
      <c r="S18" s="2">
        <f t="shared" si="74"/>
        <v>0</v>
      </c>
      <c r="T18" s="1"/>
      <c r="U18" s="1"/>
      <c r="V18" s="1">
        <v>2</v>
      </c>
      <c r="W18" s="1"/>
      <c r="X18" s="10">
        <f t="shared" si="75"/>
        <v>0</v>
      </c>
      <c r="Y18" s="1"/>
      <c r="Z18" s="1">
        <f t="shared" si="76"/>
        <v>0</v>
      </c>
      <c r="AA18" s="2"/>
      <c r="AB18" s="2"/>
      <c r="AC18" s="2">
        <v>2</v>
      </c>
      <c r="AD18" s="2"/>
      <c r="AE18" s="3">
        <f t="shared" si="77"/>
        <v>0</v>
      </c>
      <c r="AF18" s="2"/>
      <c r="AG18" s="2">
        <f t="shared" si="78"/>
        <v>0</v>
      </c>
      <c r="AH18" s="1"/>
      <c r="AI18" s="1"/>
      <c r="AJ18" s="1">
        <v>2</v>
      </c>
      <c r="AK18" s="1"/>
      <c r="AL18" s="10">
        <f t="shared" si="79"/>
        <v>0</v>
      </c>
      <c r="AM18" s="1"/>
      <c r="AN18" s="1">
        <f t="shared" si="80"/>
        <v>0</v>
      </c>
      <c r="AO18" s="2"/>
      <c r="AP18" s="2"/>
      <c r="AQ18" s="2">
        <v>2</v>
      </c>
      <c r="AR18" s="2"/>
      <c r="AS18" s="3">
        <f t="shared" si="81"/>
        <v>0</v>
      </c>
      <c r="AT18" s="2"/>
      <c r="AU18" s="2">
        <f t="shared" si="72"/>
        <v>0</v>
      </c>
      <c r="AV18" s="1"/>
      <c r="AW18" s="1"/>
      <c r="AX18" s="1">
        <v>2</v>
      </c>
      <c r="AY18" s="1"/>
      <c r="AZ18" s="10">
        <f t="shared" si="82"/>
        <v>0</v>
      </c>
      <c r="BA18" s="1"/>
      <c r="BB18" s="1">
        <f t="shared" si="83"/>
        <v>0</v>
      </c>
      <c r="BC18" s="2"/>
      <c r="BD18" s="2"/>
      <c r="BE18" s="2">
        <v>2</v>
      </c>
      <c r="BF18" s="2"/>
      <c r="BG18" s="3">
        <f t="shared" si="84"/>
        <v>0</v>
      </c>
      <c r="BH18" s="2"/>
      <c r="BI18" s="2">
        <f t="shared" si="85"/>
        <v>0</v>
      </c>
      <c r="BJ18" s="1"/>
      <c r="BK18" s="1"/>
      <c r="BL18" s="1">
        <v>2</v>
      </c>
      <c r="BM18" s="1"/>
      <c r="BN18" s="10">
        <f t="shared" si="86"/>
        <v>0</v>
      </c>
      <c r="BO18" s="1"/>
      <c r="BP18" s="1">
        <f t="shared" si="87"/>
        <v>0</v>
      </c>
      <c r="BQ18" s="2"/>
      <c r="BR18" s="2"/>
      <c r="BS18" s="2">
        <v>2</v>
      </c>
      <c r="BT18" s="2"/>
      <c r="BU18" s="3">
        <f t="shared" si="88"/>
        <v>0</v>
      </c>
      <c r="BV18" s="2"/>
      <c r="BW18" s="2">
        <f t="shared" si="89"/>
        <v>0</v>
      </c>
      <c r="BX18" s="1"/>
      <c r="BY18" s="1"/>
      <c r="BZ18" s="1">
        <v>2</v>
      </c>
      <c r="CA18" s="1"/>
      <c r="CB18" s="10">
        <f t="shared" si="90"/>
        <v>0</v>
      </c>
      <c r="CC18" s="1"/>
      <c r="CD18" s="1">
        <f t="shared" si="91"/>
        <v>0</v>
      </c>
      <c r="CE18" s="2"/>
      <c r="CF18" s="2"/>
      <c r="CG18" s="2">
        <v>2</v>
      </c>
      <c r="CH18" s="2"/>
      <c r="CI18" s="3">
        <f t="shared" si="92"/>
        <v>0</v>
      </c>
      <c r="CJ18" s="2"/>
      <c r="CK18" s="2">
        <f t="shared" si="93"/>
        <v>0</v>
      </c>
      <c r="CL18" s="1"/>
      <c r="CM18" s="1"/>
      <c r="CN18" s="1">
        <v>2</v>
      </c>
      <c r="CO18" s="1"/>
      <c r="CP18" s="10">
        <f t="shared" si="94"/>
        <v>0</v>
      </c>
      <c r="CQ18" s="1"/>
      <c r="CR18" s="1">
        <f t="shared" si="95"/>
        <v>0</v>
      </c>
      <c r="CS18" s="2"/>
      <c r="CT18" s="2"/>
      <c r="CU18" s="2">
        <v>2</v>
      </c>
      <c r="CV18" s="2"/>
      <c r="CW18" s="3">
        <f t="shared" si="96"/>
        <v>0</v>
      </c>
      <c r="CX18" s="2"/>
      <c r="CY18" s="2">
        <f t="shared" si="97"/>
        <v>0</v>
      </c>
      <c r="CZ18" s="1"/>
      <c r="DA18" s="1"/>
      <c r="DB18" s="1">
        <v>2</v>
      </c>
      <c r="DC18" s="1"/>
      <c r="DD18" s="10">
        <f t="shared" si="98"/>
        <v>0</v>
      </c>
      <c r="DE18" s="1"/>
      <c r="DF18" s="1">
        <f t="shared" si="99"/>
        <v>0</v>
      </c>
      <c r="DG18" s="2"/>
      <c r="DH18" s="2"/>
      <c r="DI18" s="2">
        <v>2</v>
      </c>
      <c r="DJ18" s="2"/>
      <c r="DK18" s="3">
        <f t="shared" si="100"/>
        <v>0</v>
      </c>
      <c r="DL18" s="2"/>
      <c r="DM18" s="2">
        <f t="shared" si="101"/>
        <v>0</v>
      </c>
      <c r="DN18" s="1"/>
      <c r="DO18" s="1"/>
      <c r="DP18" s="1">
        <v>2</v>
      </c>
      <c r="DQ18" s="1"/>
      <c r="DR18" s="10">
        <f t="shared" si="102"/>
        <v>0</v>
      </c>
      <c r="DS18" s="1"/>
      <c r="DT18" s="1">
        <f t="shared" si="103"/>
        <v>0</v>
      </c>
      <c r="DU18" s="2"/>
      <c r="DV18" s="2"/>
      <c r="DW18" s="2">
        <v>2</v>
      </c>
      <c r="DX18" s="2"/>
      <c r="DY18" s="3">
        <f t="shared" si="104"/>
        <v>0</v>
      </c>
      <c r="DZ18" s="2"/>
      <c r="EA18" s="2">
        <f t="shared" si="105"/>
        <v>0</v>
      </c>
      <c r="EB18" s="1"/>
      <c r="EC18" s="1"/>
      <c r="ED18" s="1">
        <v>2</v>
      </c>
      <c r="EE18" s="1"/>
      <c r="EF18" s="10">
        <f t="shared" si="106"/>
        <v>0</v>
      </c>
      <c r="EG18" s="1"/>
      <c r="EH18" s="1">
        <f t="shared" si="107"/>
        <v>0</v>
      </c>
      <c r="EI18" s="2"/>
      <c r="EJ18" s="2"/>
      <c r="EK18" s="2">
        <v>2</v>
      </c>
      <c r="EL18" s="2"/>
      <c r="EM18" s="3">
        <f t="shared" si="108"/>
        <v>0</v>
      </c>
      <c r="EN18" s="2"/>
      <c r="EO18" s="2">
        <f t="shared" si="109"/>
        <v>0</v>
      </c>
      <c r="EP18" s="1"/>
      <c r="EQ18" s="1"/>
      <c r="ER18" s="1">
        <v>2</v>
      </c>
      <c r="ES18" s="1"/>
      <c r="ET18" s="10">
        <f t="shared" si="110"/>
        <v>0</v>
      </c>
      <c r="EU18" s="1"/>
      <c r="EV18" s="1">
        <f t="shared" si="111"/>
        <v>0</v>
      </c>
      <c r="EW18" s="2"/>
      <c r="EX18" s="2"/>
      <c r="EY18" s="2">
        <v>2</v>
      </c>
      <c r="EZ18" s="2"/>
      <c r="FA18" s="3">
        <f t="shared" si="112"/>
        <v>0</v>
      </c>
      <c r="FB18" s="2"/>
      <c r="FC18" s="2">
        <f t="shared" si="113"/>
        <v>0</v>
      </c>
      <c r="FD18" s="1"/>
      <c r="FE18" s="1"/>
      <c r="FF18" s="1">
        <v>2</v>
      </c>
      <c r="FG18" s="1"/>
      <c r="FH18" s="10">
        <f t="shared" si="114"/>
        <v>0</v>
      </c>
      <c r="FI18" s="1"/>
      <c r="FJ18" s="1">
        <f t="shared" si="115"/>
        <v>0</v>
      </c>
      <c r="FK18" s="2"/>
      <c r="FL18" s="2"/>
      <c r="FM18" s="2">
        <v>2</v>
      </c>
      <c r="FN18" s="2"/>
      <c r="FO18" s="3">
        <f t="shared" si="116"/>
        <v>0</v>
      </c>
      <c r="FP18" s="2"/>
      <c r="FQ18" s="2">
        <f t="shared" si="117"/>
        <v>0</v>
      </c>
      <c r="FR18" s="1"/>
      <c r="FS18" s="1"/>
      <c r="FT18" s="1">
        <v>2</v>
      </c>
      <c r="FU18" s="1"/>
      <c r="FV18" s="10">
        <f t="shared" si="118"/>
        <v>0</v>
      </c>
      <c r="FW18" s="1"/>
      <c r="FX18" s="1">
        <f t="shared" si="119"/>
        <v>0</v>
      </c>
      <c r="FY18" s="2"/>
      <c r="FZ18" s="2"/>
      <c r="GA18" s="2">
        <v>2</v>
      </c>
      <c r="GB18" s="2"/>
      <c r="GC18" s="3">
        <f t="shared" si="120"/>
        <v>0</v>
      </c>
      <c r="GD18" s="2"/>
      <c r="GE18" s="2">
        <f t="shared" si="121"/>
        <v>0</v>
      </c>
      <c r="GF18" s="1"/>
      <c r="GG18" s="1"/>
      <c r="GH18" s="1">
        <v>2</v>
      </c>
      <c r="GI18" s="1"/>
      <c r="GJ18" s="10">
        <f t="shared" si="122"/>
        <v>0</v>
      </c>
      <c r="GK18" s="1"/>
      <c r="GL18" s="1">
        <f t="shared" si="123"/>
        <v>0</v>
      </c>
      <c r="GM18" s="2"/>
      <c r="GN18" s="2"/>
      <c r="GO18" s="2">
        <v>2</v>
      </c>
      <c r="GP18" s="2"/>
      <c r="GQ18" s="3">
        <f t="shared" si="124"/>
        <v>0</v>
      </c>
      <c r="GR18" s="2"/>
      <c r="GS18" s="2">
        <f t="shared" si="125"/>
        <v>0</v>
      </c>
      <c r="GT18" s="1"/>
      <c r="GU18" s="1"/>
      <c r="GV18" s="1">
        <v>2</v>
      </c>
      <c r="GW18" s="1"/>
      <c r="GX18" s="10">
        <f t="shared" si="126"/>
        <v>0</v>
      </c>
      <c r="GY18" s="1"/>
      <c r="GZ18" s="1">
        <f t="shared" si="127"/>
        <v>0</v>
      </c>
      <c r="HA18" s="2"/>
      <c r="HB18" s="2"/>
      <c r="HC18" s="2">
        <v>2</v>
      </c>
      <c r="HD18" s="2"/>
      <c r="HE18" s="3">
        <f t="shared" si="128"/>
        <v>0</v>
      </c>
      <c r="HF18" s="2"/>
      <c r="HG18" s="2">
        <f t="shared" si="129"/>
        <v>0</v>
      </c>
      <c r="HH18" s="1"/>
      <c r="HI18" s="1"/>
      <c r="HJ18" s="1">
        <v>2</v>
      </c>
      <c r="HK18" s="1"/>
      <c r="HL18" s="10">
        <f t="shared" si="130"/>
        <v>0</v>
      </c>
      <c r="HM18" s="1"/>
      <c r="HN18" s="1">
        <f t="shared" si="131"/>
        <v>0</v>
      </c>
      <c r="HO18" s="2"/>
      <c r="HP18" s="2"/>
      <c r="HQ18" s="2">
        <v>2</v>
      </c>
      <c r="HR18" s="2"/>
      <c r="HS18" s="3">
        <f t="shared" si="132"/>
        <v>0</v>
      </c>
      <c r="HT18" s="2"/>
      <c r="HU18" s="2">
        <f t="shared" si="133"/>
        <v>0</v>
      </c>
      <c r="HV18" s="1"/>
      <c r="HW18" s="1"/>
      <c r="HX18" s="1">
        <v>2</v>
      </c>
      <c r="HY18" s="1"/>
      <c r="HZ18" s="10">
        <f t="shared" si="134"/>
        <v>0</v>
      </c>
      <c r="IA18" s="1"/>
      <c r="IB18" s="1">
        <f t="shared" si="135"/>
        <v>0</v>
      </c>
      <c r="IC18" s="2"/>
      <c r="ID18" s="2"/>
      <c r="IE18" s="2">
        <v>2</v>
      </c>
      <c r="IF18" s="2"/>
      <c r="IG18" s="3">
        <f t="shared" si="136"/>
        <v>0</v>
      </c>
      <c r="IH18" s="2"/>
      <c r="II18" s="2">
        <f t="shared" si="137"/>
        <v>0</v>
      </c>
      <c r="IJ18" s="1"/>
      <c r="IK18" s="1"/>
      <c r="IL18" s="1">
        <v>2</v>
      </c>
      <c r="IM18" s="1"/>
      <c r="IN18" s="10">
        <f t="shared" si="138"/>
        <v>0</v>
      </c>
      <c r="IO18" s="1"/>
      <c r="IP18" s="1">
        <f t="shared" si="139"/>
        <v>0</v>
      </c>
    </row>
    <row r="19" spans="1:250" ht="22.5" customHeight="1">
      <c r="A19" s="116" t="s">
        <v>106</v>
      </c>
      <c r="B19" s="72"/>
      <c r="C19" s="72" t="s">
        <v>107</v>
      </c>
      <c r="D19" s="72" t="s">
        <v>108</v>
      </c>
      <c r="E19" s="72" t="s">
        <v>109</v>
      </c>
      <c r="F19" s="1"/>
      <c r="G19" s="1"/>
      <c r="H19" s="1">
        <v>2</v>
      </c>
      <c r="I19" s="68"/>
      <c r="J19" s="10">
        <f t="shared" si="70"/>
        <v>0</v>
      </c>
      <c r="K19" s="68"/>
      <c r="L19" s="1">
        <f t="shared" si="71"/>
        <v>0</v>
      </c>
      <c r="M19" s="2"/>
      <c r="N19" s="2"/>
      <c r="O19" s="2">
        <v>2</v>
      </c>
      <c r="P19" s="72"/>
      <c r="Q19" s="3">
        <f t="shared" si="73"/>
        <v>0</v>
      </c>
      <c r="R19" s="72"/>
      <c r="S19" s="2">
        <f t="shared" si="74"/>
        <v>0</v>
      </c>
      <c r="T19" s="1"/>
      <c r="U19" s="1"/>
      <c r="V19" s="1">
        <v>2</v>
      </c>
      <c r="W19" s="1"/>
      <c r="X19" s="10">
        <f t="shared" si="75"/>
        <v>0</v>
      </c>
      <c r="Y19" s="1"/>
      <c r="Z19" s="1">
        <f t="shared" si="76"/>
        <v>0</v>
      </c>
      <c r="AA19" s="2"/>
      <c r="AB19" s="2"/>
      <c r="AC19" s="2">
        <v>2</v>
      </c>
      <c r="AD19" s="2"/>
      <c r="AE19" s="3">
        <f t="shared" si="77"/>
        <v>0</v>
      </c>
      <c r="AF19" s="2"/>
      <c r="AG19" s="2">
        <f t="shared" si="78"/>
        <v>0</v>
      </c>
      <c r="AH19" s="1"/>
      <c r="AI19" s="1"/>
      <c r="AJ19" s="1">
        <v>2</v>
      </c>
      <c r="AK19" s="1"/>
      <c r="AL19" s="10">
        <f t="shared" si="79"/>
        <v>0</v>
      </c>
      <c r="AM19" s="1"/>
      <c r="AN19" s="1">
        <f t="shared" si="80"/>
        <v>0</v>
      </c>
      <c r="AO19" s="2"/>
      <c r="AP19" s="2"/>
      <c r="AQ19" s="2">
        <v>2</v>
      </c>
      <c r="AR19" s="2"/>
      <c r="AS19" s="3">
        <f t="shared" si="81"/>
        <v>0</v>
      </c>
      <c r="AT19" s="2"/>
      <c r="AU19" s="2">
        <f t="shared" si="72"/>
        <v>0</v>
      </c>
      <c r="AV19" s="1"/>
      <c r="AW19" s="1"/>
      <c r="AX19" s="1">
        <v>2</v>
      </c>
      <c r="AY19" s="1"/>
      <c r="AZ19" s="10">
        <f t="shared" si="82"/>
        <v>0</v>
      </c>
      <c r="BA19" s="1"/>
      <c r="BB19" s="1">
        <f t="shared" si="83"/>
        <v>0</v>
      </c>
      <c r="BC19" s="2"/>
      <c r="BD19" s="2"/>
      <c r="BE19" s="2">
        <v>2</v>
      </c>
      <c r="BF19" s="2"/>
      <c r="BG19" s="3">
        <f t="shared" si="84"/>
        <v>0</v>
      </c>
      <c r="BH19" s="2"/>
      <c r="BI19" s="2">
        <f t="shared" si="85"/>
        <v>0</v>
      </c>
      <c r="BJ19" s="1"/>
      <c r="BK19" s="1"/>
      <c r="BL19" s="1">
        <v>2</v>
      </c>
      <c r="BM19" s="1"/>
      <c r="BN19" s="10">
        <f t="shared" si="86"/>
        <v>0</v>
      </c>
      <c r="BO19" s="1"/>
      <c r="BP19" s="1">
        <f t="shared" si="87"/>
        <v>0</v>
      </c>
      <c r="BQ19" s="2"/>
      <c r="BR19" s="2"/>
      <c r="BS19" s="2">
        <v>2</v>
      </c>
      <c r="BT19" s="2"/>
      <c r="BU19" s="3">
        <f t="shared" si="88"/>
        <v>0</v>
      </c>
      <c r="BV19" s="2"/>
      <c r="BW19" s="2">
        <f t="shared" si="89"/>
        <v>0</v>
      </c>
      <c r="BX19" s="1"/>
      <c r="BY19" s="1"/>
      <c r="BZ19" s="1">
        <v>2</v>
      </c>
      <c r="CA19" s="1"/>
      <c r="CB19" s="10">
        <f t="shared" si="90"/>
        <v>0</v>
      </c>
      <c r="CC19" s="1"/>
      <c r="CD19" s="1">
        <f t="shared" si="91"/>
        <v>0</v>
      </c>
      <c r="CE19" s="2"/>
      <c r="CF19" s="2"/>
      <c r="CG19" s="2">
        <v>2</v>
      </c>
      <c r="CH19" s="2"/>
      <c r="CI19" s="3">
        <f t="shared" si="92"/>
        <v>0</v>
      </c>
      <c r="CJ19" s="2"/>
      <c r="CK19" s="2">
        <f t="shared" si="93"/>
        <v>0</v>
      </c>
      <c r="CL19" s="1"/>
      <c r="CM19" s="1"/>
      <c r="CN19" s="1">
        <v>2</v>
      </c>
      <c r="CO19" s="1"/>
      <c r="CP19" s="10">
        <f t="shared" si="94"/>
        <v>0</v>
      </c>
      <c r="CQ19" s="1"/>
      <c r="CR19" s="1">
        <f t="shared" si="95"/>
        <v>0</v>
      </c>
      <c r="CS19" s="2"/>
      <c r="CT19" s="2"/>
      <c r="CU19" s="2">
        <v>2</v>
      </c>
      <c r="CV19" s="2"/>
      <c r="CW19" s="3">
        <f t="shared" si="96"/>
        <v>0</v>
      </c>
      <c r="CX19" s="2"/>
      <c r="CY19" s="2">
        <f t="shared" si="97"/>
        <v>0</v>
      </c>
      <c r="CZ19" s="1"/>
      <c r="DA19" s="1"/>
      <c r="DB19" s="1">
        <v>2</v>
      </c>
      <c r="DC19" s="1"/>
      <c r="DD19" s="10">
        <f t="shared" si="98"/>
        <v>0</v>
      </c>
      <c r="DE19" s="1"/>
      <c r="DF19" s="1">
        <f t="shared" si="99"/>
        <v>0</v>
      </c>
      <c r="DG19" s="2"/>
      <c r="DH19" s="2"/>
      <c r="DI19" s="2">
        <v>2</v>
      </c>
      <c r="DJ19" s="2"/>
      <c r="DK19" s="3">
        <f t="shared" si="100"/>
        <v>0</v>
      </c>
      <c r="DL19" s="2"/>
      <c r="DM19" s="2">
        <f t="shared" si="101"/>
        <v>0</v>
      </c>
      <c r="DN19" s="1"/>
      <c r="DO19" s="1"/>
      <c r="DP19" s="1">
        <v>2</v>
      </c>
      <c r="DQ19" s="1"/>
      <c r="DR19" s="10">
        <f t="shared" si="102"/>
        <v>0</v>
      </c>
      <c r="DS19" s="1"/>
      <c r="DT19" s="1">
        <f t="shared" si="103"/>
        <v>0</v>
      </c>
      <c r="DU19" s="2"/>
      <c r="DV19" s="2"/>
      <c r="DW19" s="2">
        <v>2</v>
      </c>
      <c r="DX19" s="2"/>
      <c r="DY19" s="3">
        <f t="shared" si="104"/>
        <v>0</v>
      </c>
      <c r="DZ19" s="2"/>
      <c r="EA19" s="2">
        <f t="shared" si="105"/>
        <v>0</v>
      </c>
      <c r="EB19" s="1"/>
      <c r="EC19" s="1"/>
      <c r="ED19" s="1">
        <v>2</v>
      </c>
      <c r="EE19" s="1"/>
      <c r="EF19" s="10">
        <f t="shared" si="106"/>
        <v>0</v>
      </c>
      <c r="EG19" s="1"/>
      <c r="EH19" s="1">
        <f t="shared" si="107"/>
        <v>0</v>
      </c>
      <c r="EI19" s="2"/>
      <c r="EJ19" s="2"/>
      <c r="EK19" s="2">
        <v>2</v>
      </c>
      <c r="EL19" s="2"/>
      <c r="EM19" s="3">
        <f t="shared" si="108"/>
        <v>0</v>
      </c>
      <c r="EN19" s="2"/>
      <c r="EO19" s="2">
        <f t="shared" si="109"/>
        <v>0</v>
      </c>
      <c r="EP19" s="1"/>
      <c r="EQ19" s="1"/>
      <c r="ER19" s="1">
        <v>2</v>
      </c>
      <c r="ES19" s="1"/>
      <c r="ET19" s="10">
        <f t="shared" si="110"/>
        <v>0</v>
      </c>
      <c r="EU19" s="1"/>
      <c r="EV19" s="1">
        <f t="shared" si="111"/>
        <v>0</v>
      </c>
      <c r="EW19" s="2"/>
      <c r="EX19" s="2"/>
      <c r="EY19" s="2">
        <v>2</v>
      </c>
      <c r="EZ19" s="2"/>
      <c r="FA19" s="3">
        <f t="shared" si="112"/>
        <v>0</v>
      </c>
      <c r="FB19" s="2"/>
      <c r="FC19" s="2">
        <f t="shared" si="113"/>
        <v>0</v>
      </c>
      <c r="FD19" s="1"/>
      <c r="FE19" s="1"/>
      <c r="FF19" s="1">
        <v>2</v>
      </c>
      <c r="FG19" s="1"/>
      <c r="FH19" s="10">
        <f t="shared" si="114"/>
        <v>0</v>
      </c>
      <c r="FI19" s="1"/>
      <c r="FJ19" s="1">
        <f t="shared" si="115"/>
        <v>0</v>
      </c>
      <c r="FK19" s="2"/>
      <c r="FL19" s="2"/>
      <c r="FM19" s="2">
        <v>2</v>
      </c>
      <c r="FN19" s="2"/>
      <c r="FO19" s="3">
        <f t="shared" si="116"/>
        <v>0</v>
      </c>
      <c r="FP19" s="2"/>
      <c r="FQ19" s="2">
        <f t="shared" si="117"/>
        <v>0</v>
      </c>
      <c r="FR19" s="1"/>
      <c r="FS19" s="1"/>
      <c r="FT19" s="1">
        <v>2</v>
      </c>
      <c r="FU19" s="1"/>
      <c r="FV19" s="10">
        <f t="shared" si="118"/>
        <v>0</v>
      </c>
      <c r="FW19" s="1"/>
      <c r="FX19" s="1">
        <f t="shared" si="119"/>
        <v>0</v>
      </c>
      <c r="FY19" s="2"/>
      <c r="FZ19" s="2"/>
      <c r="GA19" s="2">
        <v>2</v>
      </c>
      <c r="GB19" s="2"/>
      <c r="GC19" s="3">
        <f t="shared" si="120"/>
        <v>0</v>
      </c>
      <c r="GD19" s="2"/>
      <c r="GE19" s="2">
        <f t="shared" si="121"/>
        <v>0</v>
      </c>
      <c r="GF19" s="1"/>
      <c r="GG19" s="1"/>
      <c r="GH19" s="1">
        <v>2</v>
      </c>
      <c r="GI19" s="1"/>
      <c r="GJ19" s="10">
        <f t="shared" si="122"/>
        <v>0</v>
      </c>
      <c r="GK19" s="1"/>
      <c r="GL19" s="1">
        <f t="shared" si="123"/>
        <v>0</v>
      </c>
      <c r="GM19" s="2"/>
      <c r="GN19" s="2"/>
      <c r="GO19" s="2">
        <v>2</v>
      </c>
      <c r="GP19" s="2"/>
      <c r="GQ19" s="3">
        <f t="shared" si="124"/>
        <v>0</v>
      </c>
      <c r="GR19" s="2"/>
      <c r="GS19" s="2">
        <f t="shared" si="125"/>
        <v>0</v>
      </c>
      <c r="GT19" s="1"/>
      <c r="GU19" s="1"/>
      <c r="GV19" s="1">
        <v>2</v>
      </c>
      <c r="GW19" s="1"/>
      <c r="GX19" s="10">
        <f t="shared" si="126"/>
        <v>0</v>
      </c>
      <c r="GY19" s="1"/>
      <c r="GZ19" s="1">
        <f t="shared" si="127"/>
        <v>0</v>
      </c>
      <c r="HA19" s="2"/>
      <c r="HB19" s="2"/>
      <c r="HC19" s="2">
        <v>2</v>
      </c>
      <c r="HD19" s="2"/>
      <c r="HE19" s="3">
        <f t="shared" si="128"/>
        <v>0</v>
      </c>
      <c r="HF19" s="2"/>
      <c r="HG19" s="2">
        <f t="shared" si="129"/>
        <v>0</v>
      </c>
      <c r="HH19" s="1"/>
      <c r="HI19" s="1"/>
      <c r="HJ19" s="1">
        <v>2</v>
      </c>
      <c r="HK19" s="1"/>
      <c r="HL19" s="10">
        <f t="shared" si="130"/>
        <v>0</v>
      </c>
      <c r="HM19" s="1"/>
      <c r="HN19" s="1">
        <f t="shared" si="131"/>
        <v>0</v>
      </c>
      <c r="HO19" s="2"/>
      <c r="HP19" s="2"/>
      <c r="HQ19" s="2">
        <v>2</v>
      </c>
      <c r="HR19" s="2"/>
      <c r="HS19" s="3">
        <f t="shared" si="132"/>
        <v>0</v>
      </c>
      <c r="HT19" s="2"/>
      <c r="HU19" s="2">
        <f t="shared" si="133"/>
        <v>0</v>
      </c>
      <c r="HV19" s="1"/>
      <c r="HW19" s="1"/>
      <c r="HX19" s="1">
        <v>2</v>
      </c>
      <c r="HY19" s="1"/>
      <c r="HZ19" s="10">
        <f t="shared" si="134"/>
        <v>0</v>
      </c>
      <c r="IA19" s="1"/>
      <c r="IB19" s="1">
        <f t="shared" si="135"/>
        <v>0</v>
      </c>
      <c r="IC19" s="2"/>
      <c r="ID19" s="2"/>
      <c r="IE19" s="2">
        <v>2</v>
      </c>
      <c r="IF19" s="2"/>
      <c r="IG19" s="3">
        <f t="shared" si="136"/>
        <v>0</v>
      </c>
      <c r="IH19" s="2"/>
      <c r="II19" s="2">
        <f t="shared" si="137"/>
        <v>0</v>
      </c>
      <c r="IJ19" s="1"/>
      <c r="IK19" s="1"/>
      <c r="IL19" s="1">
        <v>2</v>
      </c>
      <c r="IM19" s="1"/>
      <c r="IN19" s="10">
        <f t="shared" si="138"/>
        <v>0</v>
      </c>
      <c r="IO19" s="1"/>
      <c r="IP19" s="1">
        <f t="shared" si="139"/>
        <v>0</v>
      </c>
    </row>
    <row r="20" spans="1:250" ht="33.75" customHeight="1">
      <c r="A20" s="116" t="s">
        <v>110</v>
      </c>
      <c r="B20" s="71" t="s">
        <v>111</v>
      </c>
      <c r="C20" s="72" t="s">
        <v>14</v>
      </c>
      <c r="D20" s="72" t="s">
        <v>15</v>
      </c>
      <c r="E20" s="72" t="s">
        <v>16</v>
      </c>
      <c r="F20" s="1"/>
      <c r="G20" s="1"/>
      <c r="H20" s="1">
        <v>2</v>
      </c>
      <c r="I20" s="68"/>
      <c r="J20" s="10">
        <f t="shared" si="70"/>
        <v>0</v>
      </c>
      <c r="K20" s="68"/>
      <c r="L20" s="1">
        <f t="shared" si="71"/>
        <v>0</v>
      </c>
      <c r="M20" s="2"/>
      <c r="N20" s="2"/>
      <c r="O20" s="73">
        <v>2</v>
      </c>
      <c r="P20" s="72"/>
      <c r="Q20" s="3">
        <f t="shared" si="73"/>
        <v>0</v>
      </c>
      <c r="R20" s="72"/>
      <c r="S20" s="2">
        <f t="shared" si="74"/>
        <v>0</v>
      </c>
      <c r="T20" s="1"/>
      <c r="U20" s="1"/>
      <c r="V20" s="1">
        <v>2</v>
      </c>
      <c r="W20" s="1"/>
      <c r="X20" s="10">
        <f t="shared" si="75"/>
        <v>0</v>
      </c>
      <c r="Y20" s="1"/>
      <c r="Z20" s="1">
        <f t="shared" si="76"/>
        <v>0</v>
      </c>
      <c r="AA20" s="2"/>
      <c r="AB20" s="2"/>
      <c r="AC20" s="2">
        <v>2</v>
      </c>
      <c r="AD20" s="2"/>
      <c r="AE20" s="3">
        <f t="shared" si="77"/>
        <v>0</v>
      </c>
      <c r="AF20" s="2"/>
      <c r="AG20" s="2">
        <f t="shared" si="78"/>
        <v>0</v>
      </c>
      <c r="AH20" s="1"/>
      <c r="AI20" s="1"/>
      <c r="AJ20" s="1">
        <v>2</v>
      </c>
      <c r="AK20" s="1"/>
      <c r="AL20" s="10">
        <f t="shared" si="79"/>
        <v>0</v>
      </c>
      <c r="AM20" s="1"/>
      <c r="AN20" s="1">
        <f t="shared" si="80"/>
        <v>0</v>
      </c>
      <c r="AO20" s="2"/>
      <c r="AP20" s="2"/>
      <c r="AQ20" s="2">
        <v>2</v>
      </c>
      <c r="AR20" s="2"/>
      <c r="AS20" s="3">
        <f t="shared" si="81"/>
        <v>0</v>
      </c>
      <c r="AT20" s="2"/>
      <c r="AU20" s="2">
        <f t="shared" si="72"/>
        <v>0</v>
      </c>
      <c r="AV20" s="1"/>
      <c r="AW20" s="1"/>
      <c r="AX20" s="1">
        <v>2</v>
      </c>
      <c r="AY20" s="1"/>
      <c r="AZ20" s="10">
        <f t="shared" si="82"/>
        <v>0</v>
      </c>
      <c r="BA20" s="1"/>
      <c r="BB20" s="1">
        <f t="shared" si="83"/>
        <v>0</v>
      </c>
      <c r="BC20" s="2"/>
      <c r="BD20" s="2"/>
      <c r="BE20" s="2">
        <v>2</v>
      </c>
      <c r="BF20" s="2"/>
      <c r="BG20" s="3">
        <f t="shared" si="84"/>
        <v>0</v>
      </c>
      <c r="BH20" s="2"/>
      <c r="BI20" s="2">
        <f t="shared" si="85"/>
        <v>0</v>
      </c>
      <c r="BJ20" s="1"/>
      <c r="BK20" s="1"/>
      <c r="BL20" s="1">
        <v>2</v>
      </c>
      <c r="BM20" s="1"/>
      <c r="BN20" s="10">
        <f t="shared" si="86"/>
        <v>0</v>
      </c>
      <c r="BO20" s="1"/>
      <c r="BP20" s="1">
        <f t="shared" si="87"/>
        <v>0</v>
      </c>
      <c r="BQ20" s="2"/>
      <c r="BR20" s="2"/>
      <c r="BS20" s="2">
        <v>2</v>
      </c>
      <c r="BT20" s="2"/>
      <c r="BU20" s="3">
        <f t="shared" si="88"/>
        <v>0</v>
      </c>
      <c r="BV20" s="2"/>
      <c r="BW20" s="2">
        <f t="shared" si="89"/>
        <v>0</v>
      </c>
      <c r="BX20" s="1"/>
      <c r="BY20" s="1"/>
      <c r="BZ20" s="1">
        <v>2</v>
      </c>
      <c r="CA20" s="1"/>
      <c r="CB20" s="10">
        <f t="shared" si="90"/>
        <v>0</v>
      </c>
      <c r="CC20" s="1"/>
      <c r="CD20" s="1">
        <f t="shared" si="91"/>
        <v>0</v>
      </c>
      <c r="CE20" s="2"/>
      <c r="CF20" s="2"/>
      <c r="CG20" s="2">
        <v>2</v>
      </c>
      <c r="CH20" s="2"/>
      <c r="CI20" s="3">
        <f t="shared" si="92"/>
        <v>0</v>
      </c>
      <c r="CJ20" s="2"/>
      <c r="CK20" s="2">
        <f t="shared" si="93"/>
        <v>0</v>
      </c>
      <c r="CL20" s="1"/>
      <c r="CM20" s="1"/>
      <c r="CN20" s="1">
        <v>2</v>
      </c>
      <c r="CO20" s="1"/>
      <c r="CP20" s="10">
        <f t="shared" si="94"/>
        <v>0</v>
      </c>
      <c r="CQ20" s="1"/>
      <c r="CR20" s="1">
        <f t="shared" si="95"/>
        <v>0</v>
      </c>
      <c r="CS20" s="2"/>
      <c r="CT20" s="2"/>
      <c r="CU20" s="2">
        <v>2</v>
      </c>
      <c r="CV20" s="2"/>
      <c r="CW20" s="3">
        <f t="shared" si="96"/>
        <v>0</v>
      </c>
      <c r="CX20" s="2"/>
      <c r="CY20" s="2">
        <f t="shared" si="97"/>
        <v>0</v>
      </c>
      <c r="CZ20" s="1"/>
      <c r="DA20" s="1"/>
      <c r="DB20" s="1">
        <v>2</v>
      </c>
      <c r="DC20" s="1"/>
      <c r="DD20" s="10">
        <f t="shared" si="98"/>
        <v>0</v>
      </c>
      <c r="DE20" s="1"/>
      <c r="DF20" s="1">
        <f t="shared" si="99"/>
        <v>0</v>
      </c>
      <c r="DG20" s="2"/>
      <c r="DH20" s="2"/>
      <c r="DI20" s="2">
        <v>2</v>
      </c>
      <c r="DJ20" s="2"/>
      <c r="DK20" s="3">
        <f t="shared" si="100"/>
        <v>0</v>
      </c>
      <c r="DL20" s="2"/>
      <c r="DM20" s="2">
        <f t="shared" si="101"/>
        <v>0</v>
      </c>
      <c r="DN20" s="1"/>
      <c r="DO20" s="1"/>
      <c r="DP20" s="1">
        <v>2</v>
      </c>
      <c r="DQ20" s="1"/>
      <c r="DR20" s="10">
        <f t="shared" si="102"/>
        <v>0</v>
      </c>
      <c r="DS20" s="1"/>
      <c r="DT20" s="1">
        <f t="shared" si="103"/>
        <v>0</v>
      </c>
      <c r="DU20" s="2"/>
      <c r="DV20" s="2"/>
      <c r="DW20" s="2">
        <v>2</v>
      </c>
      <c r="DX20" s="2"/>
      <c r="DY20" s="3">
        <f t="shared" si="104"/>
        <v>0</v>
      </c>
      <c r="DZ20" s="2"/>
      <c r="EA20" s="2">
        <f t="shared" si="105"/>
        <v>0</v>
      </c>
      <c r="EB20" s="1"/>
      <c r="EC20" s="1"/>
      <c r="ED20" s="1">
        <v>2</v>
      </c>
      <c r="EE20" s="1"/>
      <c r="EF20" s="10">
        <f t="shared" si="106"/>
        <v>0</v>
      </c>
      <c r="EG20" s="1"/>
      <c r="EH20" s="1">
        <f t="shared" si="107"/>
        <v>0</v>
      </c>
      <c r="EI20" s="2"/>
      <c r="EJ20" s="2"/>
      <c r="EK20" s="2">
        <v>2</v>
      </c>
      <c r="EL20" s="2"/>
      <c r="EM20" s="3">
        <f t="shared" si="108"/>
        <v>0</v>
      </c>
      <c r="EN20" s="2"/>
      <c r="EO20" s="2">
        <f t="shared" si="109"/>
        <v>0</v>
      </c>
      <c r="EP20" s="1"/>
      <c r="EQ20" s="1"/>
      <c r="ER20" s="1">
        <v>2</v>
      </c>
      <c r="ES20" s="1"/>
      <c r="ET20" s="10">
        <f t="shared" si="110"/>
        <v>0</v>
      </c>
      <c r="EU20" s="1"/>
      <c r="EV20" s="1">
        <f t="shared" si="111"/>
        <v>0</v>
      </c>
      <c r="EW20" s="2"/>
      <c r="EX20" s="2"/>
      <c r="EY20" s="2">
        <v>2</v>
      </c>
      <c r="EZ20" s="2"/>
      <c r="FA20" s="3">
        <f t="shared" si="112"/>
        <v>0</v>
      </c>
      <c r="FB20" s="2"/>
      <c r="FC20" s="2">
        <f t="shared" si="113"/>
        <v>0</v>
      </c>
      <c r="FD20" s="1"/>
      <c r="FE20" s="1"/>
      <c r="FF20" s="1">
        <v>2</v>
      </c>
      <c r="FG20" s="1"/>
      <c r="FH20" s="10">
        <f t="shared" si="114"/>
        <v>0</v>
      </c>
      <c r="FI20" s="1"/>
      <c r="FJ20" s="1">
        <f t="shared" si="115"/>
        <v>0</v>
      </c>
      <c r="FK20" s="2"/>
      <c r="FL20" s="2"/>
      <c r="FM20" s="2">
        <v>2</v>
      </c>
      <c r="FN20" s="2"/>
      <c r="FO20" s="3">
        <f t="shared" si="116"/>
        <v>0</v>
      </c>
      <c r="FP20" s="2"/>
      <c r="FQ20" s="2">
        <f t="shared" si="117"/>
        <v>0</v>
      </c>
      <c r="FR20" s="1"/>
      <c r="FS20" s="1"/>
      <c r="FT20" s="1">
        <v>2</v>
      </c>
      <c r="FU20" s="1"/>
      <c r="FV20" s="10">
        <f t="shared" si="118"/>
        <v>0</v>
      </c>
      <c r="FW20" s="1"/>
      <c r="FX20" s="1">
        <f t="shared" si="119"/>
        <v>0</v>
      </c>
      <c r="FY20" s="2"/>
      <c r="FZ20" s="2"/>
      <c r="GA20" s="2">
        <v>2</v>
      </c>
      <c r="GB20" s="2"/>
      <c r="GC20" s="3">
        <f t="shared" si="120"/>
        <v>0</v>
      </c>
      <c r="GD20" s="2"/>
      <c r="GE20" s="2">
        <f t="shared" si="121"/>
        <v>0</v>
      </c>
      <c r="GF20" s="1"/>
      <c r="GG20" s="1"/>
      <c r="GH20" s="1">
        <v>2</v>
      </c>
      <c r="GI20" s="1"/>
      <c r="GJ20" s="10">
        <f t="shared" si="122"/>
        <v>0</v>
      </c>
      <c r="GK20" s="1"/>
      <c r="GL20" s="1">
        <f t="shared" si="123"/>
        <v>0</v>
      </c>
      <c r="GM20" s="2"/>
      <c r="GN20" s="2"/>
      <c r="GO20" s="2">
        <v>2</v>
      </c>
      <c r="GP20" s="2"/>
      <c r="GQ20" s="3">
        <f t="shared" si="124"/>
        <v>0</v>
      </c>
      <c r="GR20" s="2"/>
      <c r="GS20" s="2">
        <f t="shared" si="125"/>
        <v>0</v>
      </c>
      <c r="GT20" s="1"/>
      <c r="GU20" s="1"/>
      <c r="GV20" s="1">
        <v>2</v>
      </c>
      <c r="GW20" s="1"/>
      <c r="GX20" s="10">
        <f t="shared" si="126"/>
        <v>0</v>
      </c>
      <c r="GY20" s="1"/>
      <c r="GZ20" s="1">
        <f t="shared" si="127"/>
        <v>0</v>
      </c>
      <c r="HA20" s="2"/>
      <c r="HB20" s="2"/>
      <c r="HC20" s="2">
        <v>2</v>
      </c>
      <c r="HD20" s="2"/>
      <c r="HE20" s="3">
        <f t="shared" si="128"/>
        <v>0</v>
      </c>
      <c r="HF20" s="2"/>
      <c r="HG20" s="2">
        <f t="shared" si="129"/>
        <v>0</v>
      </c>
      <c r="HH20" s="1"/>
      <c r="HI20" s="1"/>
      <c r="HJ20" s="1">
        <v>2</v>
      </c>
      <c r="HK20" s="1"/>
      <c r="HL20" s="10">
        <f t="shared" si="130"/>
        <v>0</v>
      </c>
      <c r="HM20" s="1"/>
      <c r="HN20" s="1">
        <f t="shared" si="131"/>
        <v>0</v>
      </c>
      <c r="HO20" s="2"/>
      <c r="HP20" s="2"/>
      <c r="HQ20" s="2">
        <v>2</v>
      </c>
      <c r="HR20" s="2"/>
      <c r="HS20" s="3">
        <f t="shared" si="132"/>
        <v>0</v>
      </c>
      <c r="HT20" s="2"/>
      <c r="HU20" s="2">
        <f t="shared" si="133"/>
        <v>0</v>
      </c>
      <c r="HV20" s="1"/>
      <c r="HW20" s="1"/>
      <c r="HX20" s="1">
        <v>2</v>
      </c>
      <c r="HY20" s="1"/>
      <c r="HZ20" s="10">
        <f t="shared" si="134"/>
        <v>0</v>
      </c>
      <c r="IA20" s="1"/>
      <c r="IB20" s="1">
        <f t="shared" si="135"/>
        <v>0</v>
      </c>
      <c r="IC20" s="2"/>
      <c r="ID20" s="2"/>
      <c r="IE20" s="2">
        <v>2</v>
      </c>
      <c r="IF20" s="2"/>
      <c r="IG20" s="3">
        <f t="shared" si="136"/>
        <v>0</v>
      </c>
      <c r="IH20" s="2"/>
      <c r="II20" s="2">
        <f t="shared" si="137"/>
        <v>0</v>
      </c>
      <c r="IJ20" s="1"/>
      <c r="IK20" s="1"/>
      <c r="IL20" s="1">
        <v>2</v>
      </c>
      <c r="IM20" s="1"/>
      <c r="IN20" s="10">
        <f t="shared" si="138"/>
        <v>0</v>
      </c>
      <c r="IO20" s="1"/>
      <c r="IP20" s="1">
        <f t="shared" si="139"/>
        <v>0</v>
      </c>
    </row>
    <row r="21" spans="1:250" ht="59.25" customHeight="1">
      <c r="A21" s="116" t="s">
        <v>112</v>
      </c>
      <c r="B21" s="71"/>
      <c r="C21" s="72" t="s">
        <v>113</v>
      </c>
      <c r="D21" s="72" t="s">
        <v>114</v>
      </c>
      <c r="E21" s="72" t="s">
        <v>115</v>
      </c>
      <c r="F21" s="10"/>
      <c r="G21" s="10"/>
      <c r="H21" s="10">
        <v>2</v>
      </c>
      <c r="I21" s="68"/>
      <c r="J21" s="10">
        <f t="shared" si="70"/>
        <v>0</v>
      </c>
      <c r="K21" s="68"/>
      <c r="L21" s="1">
        <f t="shared" si="71"/>
        <v>0</v>
      </c>
      <c r="M21" s="73"/>
      <c r="N21" s="73"/>
      <c r="O21" s="73">
        <v>2</v>
      </c>
      <c r="P21" s="72"/>
      <c r="Q21" s="3">
        <f t="shared" si="73"/>
        <v>0</v>
      </c>
      <c r="R21" s="72"/>
      <c r="S21" s="2">
        <f t="shared" si="74"/>
        <v>0</v>
      </c>
      <c r="T21" s="1"/>
      <c r="U21" s="1"/>
      <c r="V21" s="1">
        <v>2</v>
      </c>
      <c r="W21" s="1"/>
      <c r="X21" s="10">
        <f t="shared" si="75"/>
        <v>0</v>
      </c>
      <c r="Y21" s="1"/>
      <c r="Z21" s="1">
        <f t="shared" si="76"/>
        <v>0</v>
      </c>
      <c r="AA21" s="2"/>
      <c r="AB21" s="2"/>
      <c r="AC21" s="2">
        <v>2</v>
      </c>
      <c r="AD21" s="2"/>
      <c r="AE21" s="3">
        <f t="shared" si="77"/>
        <v>0</v>
      </c>
      <c r="AF21" s="2"/>
      <c r="AG21" s="2">
        <f t="shared" si="78"/>
        <v>0</v>
      </c>
      <c r="AH21" s="1"/>
      <c r="AI21" s="1"/>
      <c r="AJ21" s="1">
        <v>2</v>
      </c>
      <c r="AK21" s="1"/>
      <c r="AL21" s="10">
        <f t="shared" si="79"/>
        <v>0</v>
      </c>
      <c r="AM21" s="1"/>
      <c r="AN21" s="1">
        <f t="shared" si="80"/>
        <v>0</v>
      </c>
      <c r="AO21" s="2"/>
      <c r="AP21" s="2"/>
      <c r="AQ21" s="2">
        <v>2</v>
      </c>
      <c r="AR21" s="2"/>
      <c r="AS21" s="3">
        <f t="shared" si="81"/>
        <v>0</v>
      </c>
      <c r="AT21" s="2"/>
      <c r="AU21" s="2">
        <f t="shared" si="72"/>
        <v>0</v>
      </c>
      <c r="AV21" s="1"/>
      <c r="AW21" s="1"/>
      <c r="AX21" s="1">
        <v>2</v>
      </c>
      <c r="AY21" s="1"/>
      <c r="AZ21" s="10">
        <f t="shared" si="82"/>
        <v>0</v>
      </c>
      <c r="BA21" s="1"/>
      <c r="BB21" s="1">
        <f t="shared" si="83"/>
        <v>0</v>
      </c>
      <c r="BC21" s="2"/>
      <c r="BD21" s="2"/>
      <c r="BE21" s="2">
        <v>2</v>
      </c>
      <c r="BF21" s="2"/>
      <c r="BG21" s="3">
        <f t="shared" si="84"/>
        <v>0</v>
      </c>
      <c r="BH21" s="2"/>
      <c r="BI21" s="2">
        <f t="shared" si="85"/>
        <v>0</v>
      </c>
      <c r="BJ21" s="1"/>
      <c r="BK21" s="1"/>
      <c r="BL21" s="1">
        <v>2</v>
      </c>
      <c r="BM21" s="1"/>
      <c r="BN21" s="10">
        <f t="shared" si="86"/>
        <v>0</v>
      </c>
      <c r="BO21" s="1"/>
      <c r="BP21" s="1">
        <f t="shared" si="87"/>
        <v>0</v>
      </c>
      <c r="BQ21" s="2"/>
      <c r="BR21" s="2"/>
      <c r="BS21" s="2">
        <v>2</v>
      </c>
      <c r="BT21" s="2"/>
      <c r="BU21" s="3">
        <f t="shared" si="88"/>
        <v>0</v>
      </c>
      <c r="BV21" s="2"/>
      <c r="BW21" s="2">
        <f t="shared" si="89"/>
        <v>0</v>
      </c>
      <c r="BX21" s="1"/>
      <c r="BY21" s="1"/>
      <c r="BZ21" s="1">
        <v>2</v>
      </c>
      <c r="CA21" s="1"/>
      <c r="CB21" s="10">
        <f t="shared" si="90"/>
        <v>0</v>
      </c>
      <c r="CC21" s="1"/>
      <c r="CD21" s="1">
        <f t="shared" si="91"/>
        <v>0</v>
      </c>
      <c r="CE21" s="2"/>
      <c r="CF21" s="2"/>
      <c r="CG21" s="2">
        <v>2</v>
      </c>
      <c r="CH21" s="2"/>
      <c r="CI21" s="3">
        <f t="shared" si="92"/>
        <v>0</v>
      </c>
      <c r="CJ21" s="2"/>
      <c r="CK21" s="2">
        <f t="shared" si="93"/>
        <v>0</v>
      </c>
      <c r="CL21" s="1"/>
      <c r="CM21" s="1"/>
      <c r="CN21" s="1">
        <v>2</v>
      </c>
      <c r="CO21" s="1"/>
      <c r="CP21" s="10">
        <f t="shared" si="94"/>
        <v>0</v>
      </c>
      <c r="CQ21" s="1"/>
      <c r="CR21" s="1">
        <f t="shared" si="95"/>
        <v>0</v>
      </c>
      <c r="CS21" s="2"/>
      <c r="CT21" s="2"/>
      <c r="CU21" s="2">
        <v>2</v>
      </c>
      <c r="CV21" s="2"/>
      <c r="CW21" s="3">
        <f t="shared" si="96"/>
        <v>0</v>
      </c>
      <c r="CX21" s="2"/>
      <c r="CY21" s="2">
        <f t="shared" si="97"/>
        <v>0</v>
      </c>
      <c r="CZ21" s="1"/>
      <c r="DA21" s="1"/>
      <c r="DB21" s="1">
        <v>2</v>
      </c>
      <c r="DC21" s="1"/>
      <c r="DD21" s="10">
        <f t="shared" si="98"/>
        <v>0</v>
      </c>
      <c r="DE21" s="1"/>
      <c r="DF21" s="1">
        <f t="shared" si="99"/>
        <v>0</v>
      </c>
      <c r="DG21" s="2"/>
      <c r="DH21" s="2"/>
      <c r="DI21" s="2">
        <v>2</v>
      </c>
      <c r="DJ21" s="2"/>
      <c r="DK21" s="3">
        <f t="shared" si="100"/>
        <v>0</v>
      </c>
      <c r="DL21" s="2"/>
      <c r="DM21" s="2">
        <f t="shared" si="101"/>
        <v>0</v>
      </c>
      <c r="DN21" s="1"/>
      <c r="DO21" s="1"/>
      <c r="DP21" s="1">
        <v>2</v>
      </c>
      <c r="DQ21" s="1"/>
      <c r="DR21" s="10">
        <f t="shared" si="102"/>
        <v>0</v>
      </c>
      <c r="DS21" s="1"/>
      <c r="DT21" s="1">
        <f t="shared" si="103"/>
        <v>0</v>
      </c>
      <c r="DU21" s="2"/>
      <c r="DV21" s="2"/>
      <c r="DW21" s="2">
        <v>2</v>
      </c>
      <c r="DX21" s="2"/>
      <c r="DY21" s="3">
        <f t="shared" si="104"/>
        <v>0</v>
      </c>
      <c r="DZ21" s="2"/>
      <c r="EA21" s="2">
        <f t="shared" si="105"/>
        <v>0</v>
      </c>
      <c r="EB21" s="1"/>
      <c r="EC21" s="1"/>
      <c r="ED21" s="1">
        <v>2</v>
      </c>
      <c r="EE21" s="1"/>
      <c r="EF21" s="10">
        <f t="shared" si="106"/>
        <v>0</v>
      </c>
      <c r="EG21" s="1"/>
      <c r="EH21" s="1">
        <f t="shared" si="107"/>
        <v>0</v>
      </c>
      <c r="EI21" s="2"/>
      <c r="EJ21" s="2"/>
      <c r="EK21" s="2">
        <v>2</v>
      </c>
      <c r="EL21" s="2"/>
      <c r="EM21" s="3">
        <f t="shared" si="108"/>
        <v>0</v>
      </c>
      <c r="EN21" s="2"/>
      <c r="EO21" s="2">
        <f t="shared" si="109"/>
        <v>0</v>
      </c>
      <c r="EP21" s="1"/>
      <c r="EQ21" s="1"/>
      <c r="ER21" s="1">
        <v>2</v>
      </c>
      <c r="ES21" s="1"/>
      <c r="ET21" s="10">
        <f t="shared" si="110"/>
        <v>0</v>
      </c>
      <c r="EU21" s="1"/>
      <c r="EV21" s="1">
        <f t="shared" si="111"/>
        <v>0</v>
      </c>
      <c r="EW21" s="2"/>
      <c r="EX21" s="2"/>
      <c r="EY21" s="2">
        <v>2</v>
      </c>
      <c r="EZ21" s="2"/>
      <c r="FA21" s="3">
        <f t="shared" si="112"/>
        <v>0</v>
      </c>
      <c r="FB21" s="2"/>
      <c r="FC21" s="2">
        <f t="shared" si="113"/>
        <v>0</v>
      </c>
      <c r="FD21" s="1"/>
      <c r="FE21" s="1"/>
      <c r="FF21" s="1">
        <v>2</v>
      </c>
      <c r="FG21" s="1"/>
      <c r="FH21" s="10">
        <f t="shared" si="114"/>
        <v>0</v>
      </c>
      <c r="FI21" s="1"/>
      <c r="FJ21" s="1">
        <f t="shared" si="115"/>
        <v>0</v>
      </c>
      <c r="FK21" s="2"/>
      <c r="FL21" s="2"/>
      <c r="FM21" s="2">
        <v>2</v>
      </c>
      <c r="FN21" s="2"/>
      <c r="FO21" s="3">
        <f t="shared" si="116"/>
        <v>0</v>
      </c>
      <c r="FP21" s="2"/>
      <c r="FQ21" s="2">
        <f t="shared" si="117"/>
        <v>0</v>
      </c>
      <c r="FR21" s="1"/>
      <c r="FS21" s="1"/>
      <c r="FT21" s="1">
        <v>2</v>
      </c>
      <c r="FU21" s="1"/>
      <c r="FV21" s="10">
        <f t="shared" si="118"/>
        <v>0</v>
      </c>
      <c r="FW21" s="1"/>
      <c r="FX21" s="1">
        <f t="shared" si="119"/>
        <v>0</v>
      </c>
      <c r="FY21" s="2"/>
      <c r="FZ21" s="2"/>
      <c r="GA21" s="2">
        <v>2</v>
      </c>
      <c r="GB21" s="2"/>
      <c r="GC21" s="3">
        <f t="shared" si="120"/>
        <v>0</v>
      </c>
      <c r="GD21" s="2"/>
      <c r="GE21" s="2">
        <f t="shared" si="121"/>
        <v>0</v>
      </c>
      <c r="GF21" s="1"/>
      <c r="GG21" s="1"/>
      <c r="GH21" s="1">
        <v>2</v>
      </c>
      <c r="GI21" s="1"/>
      <c r="GJ21" s="10">
        <f t="shared" si="122"/>
        <v>0</v>
      </c>
      <c r="GK21" s="1"/>
      <c r="GL21" s="1">
        <f t="shared" si="123"/>
        <v>0</v>
      </c>
      <c r="GM21" s="2"/>
      <c r="GN21" s="2"/>
      <c r="GO21" s="2">
        <v>2</v>
      </c>
      <c r="GP21" s="2"/>
      <c r="GQ21" s="3">
        <f t="shared" si="124"/>
        <v>0</v>
      </c>
      <c r="GR21" s="2"/>
      <c r="GS21" s="2">
        <f t="shared" si="125"/>
        <v>0</v>
      </c>
      <c r="GT21" s="1"/>
      <c r="GU21" s="1"/>
      <c r="GV21" s="1">
        <v>2</v>
      </c>
      <c r="GW21" s="1"/>
      <c r="GX21" s="10">
        <f t="shared" si="126"/>
        <v>0</v>
      </c>
      <c r="GY21" s="1"/>
      <c r="GZ21" s="1">
        <f t="shared" si="127"/>
        <v>0</v>
      </c>
      <c r="HA21" s="2"/>
      <c r="HB21" s="2"/>
      <c r="HC21" s="2">
        <v>2</v>
      </c>
      <c r="HD21" s="2"/>
      <c r="HE21" s="3">
        <f t="shared" si="128"/>
        <v>0</v>
      </c>
      <c r="HF21" s="2"/>
      <c r="HG21" s="2">
        <f t="shared" si="129"/>
        <v>0</v>
      </c>
      <c r="HH21" s="1"/>
      <c r="HI21" s="1"/>
      <c r="HJ21" s="1">
        <v>2</v>
      </c>
      <c r="HK21" s="1"/>
      <c r="HL21" s="10">
        <f t="shared" si="130"/>
        <v>0</v>
      </c>
      <c r="HM21" s="1"/>
      <c r="HN21" s="1">
        <f t="shared" si="131"/>
        <v>0</v>
      </c>
      <c r="HO21" s="2"/>
      <c r="HP21" s="2"/>
      <c r="HQ21" s="2">
        <v>2</v>
      </c>
      <c r="HR21" s="2"/>
      <c r="HS21" s="3">
        <f t="shared" si="132"/>
        <v>0</v>
      </c>
      <c r="HT21" s="2"/>
      <c r="HU21" s="2">
        <f t="shared" si="133"/>
        <v>0</v>
      </c>
      <c r="HV21" s="1"/>
      <c r="HW21" s="1"/>
      <c r="HX21" s="1">
        <v>2</v>
      </c>
      <c r="HY21" s="1"/>
      <c r="HZ21" s="10">
        <f t="shared" si="134"/>
        <v>0</v>
      </c>
      <c r="IA21" s="1"/>
      <c r="IB21" s="1">
        <f t="shared" si="135"/>
        <v>0</v>
      </c>
      <c r="IC21" s="2"/>
      <c r="ID21" s="2"/>
      <c r="IE21" s="2">
        <v>2</v>
      </c>
      <c r="IF21" s="2"/>
      <c r="IG21" s="3">
        <f t="shared" si="136"/>
        <v>0</v>
      </c>
      <c r="IH21" s="2"/>
      <c r="II21" s="2">
        <f t="shared" si="137"/>
        <v>0</v>
      </c>
      <c r="IJ21" s="1"/>
      <c r="IK21" s="1"/>
      <c r="IL21" s="1">
        <v>2</v>
      </c>
      <c r="IM21" s="1"/>
      <c r="IN21" s="10">
        <f t="shared" si="138"/>
        <v>0</v>
      </c>
      <c r="IO21" s="1"/>
      <c r="IP21" s="1">
        <f t="shared" si="139"/>
        <v>0</v>
      </c>
    </row>
    <row r="22" spans="1:250" ht="22.5" customHeight="1">
      <c r="A22" s="116" t="s">
        <v>116</v>
      </c>
      <c r="B22" s="71"/>
      <c r="C22" s="72" t="s">
        <v>117</v>
      </c>
      <c r="D22" s="72" t="s">
        <v>118</v>
      </c>
      <c r="E22" s="72" t="s">
        <v>119</v>
      </c>
      <c r="F22" s="1"/>
      <c r="G22" s="1"/>
      <c r="H22" s="1">
        <v>2</v>
      </c>
      <c r="I22" s="68"/>
      <c r="J22" s="10">
        <f t="shared" si="70"/>
        <v>0</v>
      </c>
      <c r="K22" s="68"/>
      <c r="L22" s="1">
        <f t="shared" si="71"/>
        <v>0</v>
      </c>
      <c r="M22" s="2"/>
      <c r="N22" s="2"/>
      <c r="O22" s="2">
        <v>2</v>
      </c>
      <c r="P22" s="72"/>
      <c r="Q22" s="3">
        <f t="shared" si="73"/>
        <v>0</v>
      </c>
      <c r="R22" s="72"/>
      <c r="S22" s="2">
        <f t="shared" si="74"/>
        <v>0</v>
      </c>
      <c r="T22" s="1"/>
      <c r="U22" s="1"/>
      <c r="V22" s="1">
        <v>2</v>
      </c>
      <c r="W22" s="1"/>
      <c r="X22" s="10">
        <f t="shared" si="75"/>
        <v>0</v>
      </c>
      <c r="Y22" s="1"/>
      <c r="Z22" s="1">
        <f t="shared" si="76"/>
        <v>0</v>
      </c>
      <c r="AA22" s="2"/>
      <c r="AB22" s="2"/>
      <c r="AC22" s="2">
        <v>2</v>
      </c>
      <c r="AD22" s="2"/>
      <c r="AE22" s="3">
        <f t="shared" si="77"/>
        <v>0</v>
      </c>
      <c r="AF22" s="2"/>
      <c r="AG22" s="2">
        <f t="shared" si="78"/>
        <v>0</v>
      </c>
      <c r="AH22" s="1"/>
      <c r="AI22" s="1"/>
      <c r="AJ22" s="1">
        <v>2</v>
      </c>
      <c r="AK22" s="1"/>
      <c r="AL22" s="10">
        <f t="shared" si="79"/>
        <v>0</v>
      </c>
      <c r="AM22" s="1"/>
      <c r="AN22" s="1">
        <f t="shared" si="80"/>
        <v>0</v>
      </c>
      <c r="AO22" s="2"/>
      <c r="AP22" s="2"/>
      <c r="AQ22" s="2">
        <v>2</v>
      </c>
      <c r="AR22" s="2"/>
      <c r="AS22" s="3">
        <f t="shared" si="81"/>
        <v>0</v>
      </c>
      <c r="AT22" s="2"/>
      <c r="AU22" s="2">
        <f t="shared" si="72"/>
        <v>0</v>
      </c>
      <c r="AV22" s="1"/>
      <c r="AW22" s="1"/>
      <c r="AX22" s="1">
        <v>2</v>
      </c>
      <c r="AY22" s="1"/>
      <c r="AZ22" s="10">
        <f t="shared" si="82"/>
        <v>0</v>
      </c>
      <c r="BA22" s="1"/>
      <c r="BB22" s="1">
        <f t="shared" si="83"/>
        <v>0</v>
      </c>
      <c r="BC22" s="2"/>
      <c r="BD22" s="2"/>
      <c r="BE22" s="2">
        <v>2</v>
      </c>
      <c r="BF22" s="2"/>
      <c r="BG22" s="3">
        <f t="shared" si="84"/>
        <v>0</v>
      </c>
      <c r="BH22" s="2"/>
      <c r="BI22" s="2">
        <f t="shared" si="85"/>
        <v>0</v>
      </c>
      <c r="BJ22" s="1"/>
      <c r="BK22" s="1"/>
      <c r="BL22" s="1">
        <v>2</v>
      </c>
      <c r="BM22" s="1"/>
      <c r="BN22" s="10">
        <f t="shared" si="86"/>
        <v>0</v>
      </c>
      <c r="BO22" s="1"/>
      <c r="BP22" s="1">
        <f t="shared" si="87"/>
        <v>0</v>
      </c>
      <c r="BQ22" s="2"/>
      <c r="BR22" s="2"/>
      <c r="BS22" s="2">
        <v>2</v>
      </c>
      <c r="BT22" s="2"/>
      <c r="BU22" s="3">
        <f t="shared" si="88"/>
        <v>0</v>
      </c>
      <c r="BV22" s="2"/>
      <c r="BW22" s="2">
        <f t="shared" si="89"/>
        <v>0</v>
      </c>
      <c r="BX22" s="1"/>
      <c r="BY22" s="1"/>
      <c r="BZ22" s="1">
        <v>2</v>
      </c>
      <c r="CA22" s="1"/>
      <c r="CB22" s="10">
        <f t="shared" si="90"/>
        <v>0</v>
      </c>
      <c r="CC22" s="1"/>
      <c r="CD22" s="1">
        <f t="shared" si="91"/>
        <v>0</v>
      </c>
      <c r="CE22" s="2"/>
      <c r="CF22" s="2"/>
      <c r="CG22" s="2">
        <v>2</v>
      </c>
      <c r="CH22" s="2"/>
      <c r="CI22" s="3">
        <f t="shared" si="92"/>
        <v>0</v>
      </c>
      <c r="CJ22" s="2"/>
      <c r="CK22" s="2">
        <f t="shared" si="93"/>
        <v>0</v>
      </c>
      <c r="CL22" s="1"/>
      <c r="CM22" s="1"/>
      <c r="CN22" s="1">
        <v>2</v>
      </c>
      <c r="CO22" s="1"/>
      <c r="CP22" s="10">
        <f t="shared" si="94"/>
        <v>0</v>
      </c>
      <c r="CQ22" s="1"/>
      <c r="CR22" s="1">
        <f t="shared" si="95"/>
        <v>0</v>
      </c>
      <c r="CS22" s="2"/>
      <c r="CT22" s="2"/>
      <c r="CU22" s="2">
        <v>2</v>
      </c>
      <c r="CV22" s="2"/>
      <c r="CW22" s="3">
        <f t="shared" si="96"/>
        <v>0</v>
      </c>
      <c r="CX22" s="2"/>
      <c r="CY22" s="2">
        <f t="shared" si="97"/>
        <v>0</v>
      </c>
      <c r="CZ22" s="1"/>
      <c r="DA22" s="1"/>
      <c r="DB22" s="1">
        <v>2</v>
      </c>
      <c r="DC22" s="1"/>
      <c r="DD22" s="10">
        <f t="shared" si="98"/>
        <v>0</v>
      </c>
      <c r="DE22" s="1"/>
      <c r="DF22" s="1">
        <f t="shared" si="99"/>
        <v>0</v>
      </c>
      <c r="DG22" s="2"/>
      <c r="DH22" s="2"/>
      <c r="DI22" s="2">
        <v>2</v>
      </c>
      <c r="DJ22" s="2"/>
      <c r="DK22" s="3">
        <f t="shared" si="100"/>
        <v>0</v>
      </c>
      <c r="DL22" s="2"/>
      <c r="DM22" s="2">
        <f t="shared" si="101"/>
        <v>0</v>
      </c>
      <c r="DN22" s="1"/>
      <c r="DO22" s="1"/>
      <c r="DP22" s="1">
        <v>2</v>
      </c>
      <c r="DQ22" s="1"/>
      <c r="DR22" s="10">
        <f t="shared" si="102"/>
        <v>0</v>
      </c>
      <c r="DS22" s="1"/>
      <c r="DT22" s="1">
        <f t="shared" si="103"/>
        <v>0</v>
      </c>
      <c r="DU22" s="2"/>
      <c r="DV22" s="2"/>
      <c r="DW22" s="2">
        <v>2</v>
      </c>
      <c r="DX22" s="2"/>
      <c r="DY22" s="3">
        <f t="shared" si="104"/>
        <v>0</v>
      </c>
      <c r="DZ22" s="2"/>
      <c r="EA22" s="2">
        <f t="shared" si="105"/>
        <v>0</v>
      </c>
      <c r="EB22" s="1"/>
      <c r="EC22" s="1"/>
      <c r="ED22" s="1">
        <v>2</v>
      </c>
      <c r="EE22" s="1"/>
      <c r="EF22" s="10">
        <f t="shared" si="106"/>
        <v>0</v>
      </c>
      <c r="EG22" s="1"/>
      <c r="EH22" s="1">
        <f t="shared" si="107"/>
        <v>0</v>
      </c>
      <c r="EI22" s="2"/>
      <c r="EJ22" s="2"/>
      <c r="EK22" s="2">
        <v>2</v>
      </c>
      <c r="EL22" s="2"/>
      <c r="EM22" s="3">
        <f t="shared" si="108"/>
        <v>0</v>
      </c>
      <c r="EN22" s="2"/>
      <c r="EO22" s="2">
        <f t="shared" si="109"/>
        <v>0</v>
      </c>
      <c r="EP22" s="1"/>
      <c r="EQ22" s="1"/>
      <c r="ER22" s="1">
        <v>2</v>
      </c>
      <c r="ES22" s="1"/>
      <c r="ET22" s="10">
        <f t="shared" si="110"/>
        <v>0</v>
      </c>
      <c r="EU22" s="1"/>
      <c r="EV22" s="1">
        <f t="shared" si="111"/>
        <v>0</v>
      </c>
      <c r="EW22" s="2"/>
      <c r="EX22" s="2"/>
      <c r="EY22" s="2">
        <v>2</v>
      </c>
      <c r="EZ22" s="2"/>
      <c r="FA22" s="3">
        <f t="shared" si="112"/>
        <v>0</v>
      </c>
      <c r="FB22" s="2"/>
      <c r="FC22" s="2">
        <f t="shared" si="113"/>
        <v>0</v>
      </c>
      <c r="FD22" s="1"/>
      <c r="FE22" s="1"/>
      <c r="FF22" s="1">
        <v>2</v>
      </c>
      <c r="FG22" s="1"/>
      <c r="FH22" s="10">
        <f t="shared" si="114"/>
        <v>0</v>
      </c>
      <c r="FI22" s="1"/>
      <c r="FJ22" s="1">
        <f t="shared" si="115"/>
        <v>0</v>
      </c>
      <c r="FK22" s="2"/>
      <c r="FL22" s="2"/>
      <c r="FM22" s="2">
        <v>2</v>
      </c>
      <c r="FN22" s="2"/>
      <c r="FO22" s="3">
        <f t="shared" si="116"/>
        <v>0</v>
      </c>
      <c r="FP22" s="2"/>
      <c r="FQ22" s="2">
        <f t="shared" si="117"/>
        <v>0</v>
      </c>
      <c r="FR22" s="1"/>
      <c r="FS22" s="1"/>
      <c r="FT22" s="1">
        <v>2</v>
      </c>
      <c r="FU22" s="1"/>
      <c r="FV22" s="10">
        <f t="shared" si="118"/>
        <v>0</v>
      </c>
      <c r="FW22" s="1"/>
      <c r="FX22" s="1">
        <f t="shared" si="119"/>
        <v>0</v>
      </c>
      <c r="FY22" s="2"/>
      <c r="FZ22" s="2"/>
      <c r="GA22" s="2">
        <v>2</v>
      </c>
      <c r="GB22" s="2"/>
      <c r="GC22" s="3">
        <f t="shared" si="120"/>
        <v>0</v>
      </c>
      <c r="GD22" s="2"/>
      <c r="GE22" s="2">
        <f t="shared" si="121"/>
        <v>0</v>
      </c>
      <c r="GF22" s="1"/>
      <c r="GG22" s="1"/>
      <c r="GH22" s="1">
        <v>2</v>
      </c>
      <c r="GI22" s="1"/>
      <c r="GJ22" s="10">
        <f t="shared" si="122"/>
        <v>0</v>
      </c>
      <c r="GK22" s="1"/>
      <c r="GL22" s="1">
        <f t="shared" si="123"/>
        <v>0</v>
      </c>
      <c r="GM22" s="2"/>
      <c r="GN22" s="2"/>
      <c r="GO22" s="2">
        <v>2</v>
      </c>
      <c r="GP22" s="2"/>
      <c r="GQ22" s="3">
        <f t="shared" si="124"/>
        <v>0</v>
      </c>
      <c r="GR22" s="2"/>
      <c r="GS22" s="2">
        <f t="shared" si="125"/>
        <v>0</v>
      </c>
      <c r="GT22" s="1"/>
      <c r="GU22" s="1"/>
      <c r="GV22" s="1">
        <v>2</v>
      </c>
      <c r="GW22" s="1"/>
      <c r="GX22" s="10">
        <f t="shared" si="126"/>
        <v>0</v>
      </c>
      <c r="GY22" s="1"/>
      <c r="GZ22" s="1">
        <f t="shared" si="127"/>
        <v>0</v>
      </c>
      <c r="HA22" s="2"/>
      <c r="HB22" s="2"/>
      <c r="HC22" s="2">
        <v>2</v>
      </c>
      <c r="HD22" s="2"/>
      <c r="HE22" s="3">
        <f t="shared" si="128"/>
        <v>0</v>
      </c>
      <c r="HF22" s="2"/>
      <c r="HG22" s="2">
        <f t="shared" si="129"/>
        <v>0</v>
      </c>
      <c r="HH22" s="1"/>
      <c r="HI22" s="1"/>
      <c r="HJ22" s="1">
        <v>2</v>
      </c>
      <c r="HK22" s="1"/>
      <c r="HL22" s="10">
        <f t="shared" si="130"/>
        <v>0</v>
      </c>
      <c r="HM22" s="1"/>
      <c r="HN22" s="1">
        <f t="shared" si="131"/>
        <v>0</v>
      </c>
      <c r="HO22" s="2"/>
      <c r="HP22" s="2"/>
      <c r="HQ22" s="2">
        <v>2</v>
      </c>
      <c r="HR22" s="2"/>
      <c r="HS22" s="3">
        <f t="shared" si="132"/>
        <v>0</v>
      </c>
      <c r="HT22" s="2"/>
      <c r="HU22" s="2">
        <f t="shared" si="133"/>
        <v>0</v>
      </c>
      <c r="HV22" s="1"/>
      <c r="HW22" s="1"/>
      <c r="HX22" s="1">
        <v>2</v>
      </c>
      <c r="HY22" s="1"/>
      <c r="HZ22" s="10">
        <f t="shared" si="134"/>
        <v>0</v>
      </c>
      <c r="IA22" s="1"/>
      <c r="IB22" s="1">
        <f t="shared" si="135"/>
        <v>0</v>
      </c>
      <c r="IC22" s="2"/>
      <c r="ID22" s="2"/>
      <c r="IE22" s="2">
        <v>2</v>
      </c>
      <c r="IF22" s="2"/>
      <c r="IG22" s="3">
        <f t="shared" si="136"/>
        <v>0</v>
      </c>
      <c r="IH22" s="2"/>
      <c r="II22" s="2">
        <f t="shared" si="137"/>
        <v>0</v>
      </c>
      <c r="IJ22" s="1"/>
      <c r="IK22" s="1"/>
      <c r="IL22" s="1">
        <v>2</v>
      </c>
      <c r="IM22" s="1"/>
      <c r="IN22" s="10">
        <f t="shared" si="138"/>
        <v>0</v>
      </c>
      <c r="IO22" s="1"/>
      <c r="IP22" s="1">
        <f t="shared" si="139"/>
        <v>0</v>
      </c>
    </row>
    <row r="23" spans="1:250" ht="47.25" customHeight="1">
      <c r="A23" s="116" t="s">
        <v>120</v>
      </c>
      <c r="B23" s="71"/>
      <c r="C23" s="72" t="s">
        <v>121</v>
      </c>
      <c r="D23" s="72" t="s">
        <v>122</v>
      </c>
      <c r="E23" s="72" t="s">
        <v>123</v>
      </c>
      <c r="F23" s="1"/>
      <c r="G23" s="1"/>
      <c r="H23" s="1">
        <v>2</v>
      </c>
      <c r="I23" s="68"/>
      <c r="J23" s="10">
        <f t="shared" si="70"/>
        <v>0</v>
      </c>
      <c r="K23" s="68"/>
      <c r="L23" s="1">
        <f t="shared" si="71"/>
        <v>0</v>
      </c>
      <c r="M23" s="2"/>
      <c r="N23" s="2"/>
      <c r="O23" s="2">
        <v>2</v>
      </c>
      <c r="P23" s="72"/>
      <c r="Q23" s="3">
        <f t="shared" si="73"/>
        <v>0</v>
      </c>
      <c r="R23" s="72"/>
      <c r="S23" s="2">
        <f t="shared" si="74"/>
        <v>0</v>
      </c>
      <c r="T23" s="1"/>
      <c r="U23" s="1"/>
      <c r="V23" s="1">
        <v>2</v>
      </c>
      <c r="W23" s="1"/>
      <c r="X23" s="10">
        <f t="shared" si="75"/>
        <v>0</v>
      </c>
      <c r="Y23" s="1"/>
      <c r="Z23" s="1">
        <f t="shared" si="76"/>
        <v>0</v>
      </c>
      <c r="AA23" s="2"/>
      <c r="AB23" s="2"/>
      <c r="AC23" s="2">
        <v>2</v>
      </c>
      <c r="AD23" s="2"/>
      <c r="AE23" s="3">
        <f t="shared" si="77"/>
        <v>0</v>
      </c>
      <c r="AF23" s="2"/>
      <c r="AG23" s="2">
        <f t="shared" si="78"/>
        <v>0</v>
      </c>
      <c r="AH23" s="1"/>
      <c r="AI23" s="1"/>
      <c r="AJ23" s="1">
        <v>2</v>
      </c>
      <c r="AK23" s="1"/>
      <c r="AL23" s="10">
        <f t="shared" si="79"/>
        <v>0</v>
      </c>
      <c r="AM23" s="1"/>
      <c r="AN23" s="1">
        <f t="shared" si="80"/>
        <v>0</v>
      </c>
      <c r="AO23" s="2"/>
      <c r="AP23" s="2"/>
      <c r="AQ23" s="2">
        <v>2</v>
      </c>
      <c r="AR23" s="2"/>
      <c r="AS23" s="3">
        <f t="shared" si="81"/>
        <v>0</v>
      </c>
      <c r="AT23" s="2"/>
      <c r="AU23" s="2">
        <f t="shared" si="72"/>
        <v>0</v>
      </c>
      <c r="AV23" s="1"/>
      <c r="AW23" s="1"/>
      <c r="AX23" s="1">
        <v>2</v>
      </c>
      <c r="AY23" s="1"/>
      <c r="AZ23" s="10">
        <f t="shared" si="82"/>
        <v>0</v>
      </c>
      <c r="BA23" s="1"/>
      <c r="BB23" s="1">
        <f t="shared" si="83"/>
        <v>0</v>
      </c>
      <c r="BC23" s="2"/>
      <c r="BD23" s="2"/>
      <c r="BE23" s="2">
        <v>2</v>
      </c>
      <c r="BF23" s="2"/>
      <c r="BG23" s="3">
        <f t="shared" si="84"/>
        <v>0</v>
      </c>
      <c r="BH23" s="2"/>
      <c r="BI23" s="2">
        <f t="shared" si="85"/>
        <v>0</v>
      </c>
      <c r="BJ23" s="1"/>
      <c r="BK23" s="1"/>
      <c r="BL23" s="1">
        <v>2</v>
      </c>
      <c r="BM23" s="1"/>
      <c r="BN23" s="10">
        <f t="shared" si="86"/>
        <v>0</v>
      </c>
      <c r="BO23" s="1"/>
      <c r="BP23" s="1">
        <f t="shared" si="87"/>
        <v>0</v>
      </c>
      <c r="BQ23" s="2"/>
      <c r="BR23" s="2"/>
      <c r="BS23" s="2">
        <v>2</v>
      </c>
      <c r="BT23" s="2"/>
      <c r="BU23" s="3">
        <f t="shared" si="88"/>
        <v>0</v>
      </c>
      <c r="BV23" s="2"/>
      <c r="BW23" s="2">
        <f t="shared" si="89"/>
        <v>0</v>
      </c>
      <c r="BX23" s="1"/>
      <c r="BY23" s="1"/>
      <c r="BZ23" s="1">
        <v>2</v>
      </c>
      <c r="CA23" s="1"/>
      <c r="CB23" s="10">
        <f t="shared" si="90"/>
        <v>0</v>
      </c>
      <c r="CC23" s="1"/>
      <c r="CD23" s="1">
        <f t="shared" si="91"/>
        <v>0</v>
      </c>
      <c r="CE23" s="2"/>
      <c r="CF23" s="2"/>
      <c r="CG23" s="2">
        <v>2</v>
      </c>
      <c r="CH23" s="2"/>
      <c r="CI23" s="3">
        <f t="shared" si="92"/>
        <v>0</v>
      </c>
      <c r="CJ23" s="2"/>
      <c r="CK23" s="2">
        <f t="shared" si="93"/>
        <v>0</v>
      </c>
      <c r="CL23" s="1"/>
      <c r="CM23" s="1"/>
      <c r="CN23" s="1">
        <v>2</v>
      </c>
      <c r="CO23" s="1"/>
      <c r="CP23" s="10">
        <f t="shared" si="94"/>
        <v>0</v>
      </c>
      <c r="CQ23" s="1"/>
      <c r="CR23" s="1">
        <f t="shared" si="95"/>
        <v>0</v>
      </c>
      <c r="CS23" s="2"/>
      <c r="CT23" s="2"/>
      <c r="CU23" s="2">
        <v>2</v>
      </c>
      <c r="CV23" s="2"/>
      <c r="CW23" s="3">
        <f t="shared" si="96"/>
        <v>0</v>
      </c>
      <c r="CX23" s="2"/>
      <c r="CY23" s="2">
        <f t="shared" si="97"/>
        <v>0</v>
      </c>
      <c r="CZ23" s="1"/>
      <c r="DA23" s="1"/>
      <c r="DB23" s="1">
        <v>2</v>
      </c>
      <c r="DC23" s="1"/>
      <c r="DD23" s="10">
        <f t="shared" si="98"/>
        <v>0</v>
      </c>
      <c r="DE23" s="1"/>
      <c r="DF23" s="1">
        <f t="shared" si="99"/>
        <v>0</v>
      </c>
      <c r="DG23" s="2"/>
      <c r="DH23" s="2"/>
      <c r="DI23" s="2">
        <v>2</v>
      </c>
      <c r="DJ23" s="2"/>
      <c r="DK23" s="3">
        <f t="shared" si="100"/>
        <v>0</v>
      </c>
      <c r="DL23" s="2"/>
      <c r="DM23" s="2">
        <f t="shared" si="101"/>
        <v>0</v>
      </c>
      <c r="DN23" s="1"/>
      <c r="DO23" s="1"/>
      <c r="DP23" s="1">
        <v>2</v>
      </c>
      <c r="DQ23" s="1"/>
      <c r="DR23" s="10">
        <f t="shared" si="102"/>
        <v>0</v>
      </c>
      <c r="DS23" s="1"/>
      <c r="DT23" s="1">
        <f t="shared" si="103"/>
        <v>0</v>
      </c>
      <c r="DU23" s="2"/>
      <c r="DV23" s="2"/>
      <c r="DW23" s="2">
        <v>2</v>
      </c>
      <c r="DX23" s="2"/>
      <c r="DY23" s="3">
        <f t="shared" si="104"/>
        <v>0</v>
      </c>
      <c r="DZ23" s="2"/>
      <c r="EA23" s="2">
        <f t="shared" si="105"/>
        <v>0</v>
      </c>
      <c r="EB23" s="1"/>
      <c r="EC23" s="1"/>
      <c r="ED23" s="1">
        <v>2</v>
      </c>
      <c r="EE23" s="1"/>
      <c r="EF23" s="10">
        <f t="shared" si="106"/>
        <v>0</v>
      </c>
      <c r="EG23" s="1"/>
      <c r="EH23" s="1">
        <f t="shared" si="107"/>
        <v>0</v>
      </c>
      <c r="EI23" s="2"/>
      <c r="EJ23" s="2"/>
      <c r="EK23" s="2">
        <v>2</v>
      </c>
      <c r="EL23" s="2"/>
      <c r="EM23" s="3">
        <f t="shared" si="108"/>
        <v>0</v>
      </c>
      <c r="EN23" s="2"/>
      <c r="EO23" s="2">
        <f t="shared" si="109"/>
        <v>0</v>
      </c>
      <c r="EP23" s="1"/>
      <c r="EQ23" s="1"/>
      <c r="ER23" s="1">
        <v>2</v>
      </c>
      <c r="ES23" s="1"/>
      <c r="ET23" s="10">
        <f t="shared" si="110"/>
        <v>0</v>
      </c>
      <c r="EU23" s="1"/>
      <c r="EV23" s="1">
        <f t="shared" si="111"/>
        <v>0</v>
      </c>
      <c r="EW23" s="2"/>
      <c r="EX23" s="2"/>
      <c r="EY23" s="2">
        <v>2</v>
      </c>
      <c r="EZ23" s="2"/>
      <c r="FA23" s="3">
        <f t="shared" si="112"/>
        <v>0</v>
      </c>
      <c r="FB23" s="2"/>
      <c r="FC23" s="2">
        <f t="shared" si="113"/>
        <v>0</v>
      </c>
      <c r="FD23" s="1"/>
      <c r="FE23" s="1"/>
      <c r="FF23" s="1">
        <v>2</v>
      </c>
      <c r="FG23" s="1"/>
      <c r="FH23" s="10">
        <f t="shared" si="114"/>
        <v>0</v>
      </c>
      <c r="FI23" s="1"/>
      <c r="FJ23" s="1">
        <f t="shared" si="115"/>
        <v>0</v>
      </c>
      <c r="FK23" s="2"/>
      <c r="FL23" s="2"/>
      <c r="FM23" s="2">
        <v>2</v>
      </c>
      <c r="FN23" s="2"/>
      <c r="FO23" s="3">
        <f t="shared" si="116"/>
        <v>0</v>
      </c>
      <c r="FP23" s="2"/>
      <c r="FQ23" s="2">
        <f t="shared" si="117"/>
        <v>0</v>
      </c>
      <c r="FR23" s="1"/>
      <c r="FS23" s="1"/>
      <c r="FT23" s="1">
        <v>2</v>
      </c>
      <c r="FU23" s="1"/>
      <c r="FV23" s="10">
        <f t="shared" si="118"/>
        <v>0</v>
      </c>
      <c r="FW23" s="1"/>
      <c r="FX23" s="1">
        <f t="shared" si="119"/>
        <v>0</v>
      </c>
      <c r="FY23" s="2"/>
      <c r="FZ23" s="2"/>
      <c r="GA23" s="2">
        <v>2</v>
      </c>
      <c r="GB23" s="2"/>
      <c r="GC23" s="3">
        <f t="shared" si="120"/>
        <v>0</v>
      </c>
      <c r="GD23" s="2"/>
      <c r="GE23" s="2">
        <f t="shared" si="121"/>
        <v>0</v>
      </c>
      <c r="GF23" s="1"/>
      <c r="GG23" s="1"/>
      <c r="GH23" s="1">
        <v>2</v>
      </c>
      <c r="GI23" s="1"/>
      <c r="GJ23" s="10">
        <f t="shared" si="122"/>
        <v>0</v>
      </c>
      <c r="GK23" s="1"/>
      <c r="GL23" s="1">
        <f t="shared" si="123"/>
        <v>0</v>
      </c>
      <c r="GM23" s="2"/>
      <c r="GN23" s="2"/>
      <c r="GO23" s="2">
        <v>2</v>
      </c>
      <c r="GP23" s="2"/>
      <c r="GQ23" s="3">
        <f t="shared" si="124"/>
        <v>0</v>
      </c>
      <c r="GR23" s="2"/>
      <c r="GS23" s="2">
        <f t="shared" si="125"/>
        <v>0</v>
      </c>
      <c r="GT23" s="1"/>
      <c r="GU23" s="1"/>
      <c r="GV23" s="1">
        <v>2</v>
      </c>
      <c r="GW23" s="1"/>
      <c r="GX23" s="10">
        <f t="shared" si="126"/>
        <v>0</v>
      </c>
      <c r="GY23" s="1"/>
      <c r="GZ23" s="1">
        <f t="shared" si="127"/>
        <v>0</v>
      </c>
      <c r="HA23" s="2"/>
      <c r="HB23" s="2"/>
      <c r="HC23" s="2">
        <v>2</v>
      </c>
      <c r="HD23" s="2"/>
      <c r="HE23" s="3">
        <f t="shared" si="128"/>
        <v>0</v>
      </c>
      <c r="HF23" s="2"/>
      <c r="HG23" s="2">
        <f t="shared" si="129"/>
        <v>0</v>
      </c>
      <c r="HH23" s="1"/>
      <c r="HI23" s="1"/>
      <c r="HJ23" s="1">
        <v>2</v>
      </c>
      <c r="HK23" s="1"/>
      <c r="HL23" s="10">
        <f t="shared" si="130"/>
        <v>0</v>
      </c>
      <c r="HM23" s="1"/>
      <c r="HN23" s="1">
        <f t="shared" si="131"/>
        <v>0</v>
      </c>
      <c r="HO23" s="2"/>
      <c r="HP23" s="2"/>
      <c r="HQ23" s="2">
        <v>2</v>
      </c>
      <c r="HR23" s="2"/>
      <c r="HS23" s="3">
        <f t="shared" si="132"/>
        <v>0</v>
      </c>
      <c r="HT23" s="2"/>
      <c r="HU23" s="2">
        <f t="shared" si="133"/>
        <v>0</v>
      </c>
      <c r="HV23" s="1"/>
      <c r="HW23" s="1"/>
      <c r="HX23" s="1">
        <v>2</v>
      </c>
      <c r="HY23" s="1"/>
      <c r="HZ23" s="10">
        <f t="shared" si="134"/>
        <v>0</v>
      </c>
      <c r="IA23" s="1"/>
      <c r="IB23" s="1">
        <f t="shared" si="135"/>
        <v>0</v>
      </c>
      <c r="IC23" s="2"/>
      <c r="ID23" s="2"/>
      <c r="IE23" s="2">
        <v>2</v>
      </c>
      <c r="IF23" s="2"/>
      <c r="IG23" s="3">
        <f t="shared" si="136"/>
        <v>0</v>
      </c>
      <c r="IH23" s="2"/>
      <c r="II23" s="2">
        <f t="shared" si="137"/>
        <v>0</v>
      </c>
      <c r="IJ23" s="1"/>
      <c r="IK23" s="1"/>
      <c r="IL23" s="1">
        <v>2</v>
      </c>
      <c r="IM23" s="1"/>
      <c r="IN23" s="10">
        <f t="shared" si="138"/>
        <v>0</v>
      </c>
      <c r="IO23" s="1"/>
      <c r="IP23" s="1">
        <f t="shared" si="139"/>
        <v>0</v>
      </c>
    </row>
    <row r="24" spans="1:250" ht="33" customHeight="1">
      <c r="A24" s="116" t="s">
        <v>124</v>
      </c>
      <c r="B24" s="71"/>
      <c r="C24" s="72" t="s">
        <v>125</v>
      </c>
      <c r="D24" s="72" t="s">
        <v>126</v>
      </c>
      <c r="E24" s="72" t="s">
        <v>127</v>
      </c>
      <c r="F24" s="1"/>
      <c r="G24" s="1"/>
      <c r="H24" s="1">
        <v>2</v>
      </c>
      <c r="I24" s="68"/>
      <c r="J24" s="10">
        <f t="shared" si="70"/>
        <v>0</v>
      </c>
      <c r="K24" s="68"/>
      <c r="L24" s="1">
        <f t="shared" si="71"/>
        <v>0</v>
      </c>
      <c r="M24" s="2"/>
      <c r="N24" s="2"/>
      <c r="O24" s="2">
        <v>2</v>
      </c>
      <c r="P24" s="72"/>
      <c r="Q24" s="3">
        <f t="shared" si="73"/>
        <v>0</v>
      </c>
      <c r="R24" s="72"/>
      <c r="S24" s="2">
        <f t="shared" si="74"/>
        <v>0</v>
      </c>
      <c r="T24" s="1"/>
      <c r="U24" s="1"/>
      <c r="V24" s="1">
        <v>2</v>
      </c>
      <c r="W24" s="1"/>
      <c r="X24" s="10">
        <f t="shared" si="75"/>
        <v>0</v>
      </c>
      <c r="Y24" s="1"/>
      <c r="Z24" s="1">
        <f t="shared" si="76"/>
        <v>0</v>
      </c>
      <c r="AA24" s="2"/>
      <c r="AB24" s="2"/>
      <c r="AC24" s="2">
        <v>2</v>
      </c>
      <c r="AD24" s="2"/>
      <c r="AE24" s="3">
        <f t="shared" si="77"/>
        <v>0</v>
      </c>
      <c r="AF24" s="2"/>
      <c r="AG24" s="2">
        <f t="shared" si="78"/>
        <v>0</v>
      </c>
      <c r="AH24" s="1"/>
      <c r="AI24" s="1"/>
      <c r="AJ24" s="1">
        <v>2</v>
      </c>
      <c r="AK24" s="1"/>
      <c r="AL24" s="10">
        <f t="shared" si="79"/>
        <v>0</v>
      </c>
      <c r="AM24" s="1"/>
      <c r="AN24" s="1">
        <f t="shared" si="80"/>
        <v>0</v>
      </c>
      <c r="AO24" s="2"/>
      <c r="AP24" s="2"/>
      <c r="AQ24" s="2">
        <v>2</v>
      </c>
      <c r="AR24" s="2"/>
      <c r="AS24" s="3">
        <f t="shared" si="81"/>
        <v>0</v>
      </c>
      <c r="AT24" s="2"/>
      <c r="AU24" s="2">
        <f t="shared" si="72"/>
        <v>0</v>
      </c>
      <c r="AV24" s="1"/>
      <c r="AW24" s="1"/>
      <c r="AX24" s="1">
        <v>2</v>
      </c>
      <c r="AY24" s="1"/>
      <c r="AZ24" s="10">
        <f t="shared" si="82"/>
        <v>0</v>
      </c>
      <c r="BA24" s="1"/>
      <c r="BB24" s="1">
        <f t="shared" si="83"/>
        <v>0</v>
      </c>
      <c r="BC24" s="2"/>
      <c r="BD24" s="2"/>
      <c r="BE24" s="2">
        <v>2</v>
      </c>
      <c r="BF24" s="2"/>
      <c r="BG24" s="3">
        <f t="shared" si="84"/>
        <v>0</v>
      </c>
      <c r="BH24" s="2"/>
      <c r="BI24" s="2">
        <f t="shared" si="85"/>
        <v>0</v>
      </c>
      <c r="BJ24" s="1"/>
      <c r="BK24" s="1"/>
      <c r="BL24" s="1">
        <v>2</v>
      </c>
      <c r="BM24" s="1"/>
      <c r="BN24" s="10">
        <f t="shared" si="86"/>
        <v>0</v>
      </c>
      <c r="BO24" s="1"/>
      <c r="BP24" s="1">
        <f t="shared" si="87"/>
        <v>0</v>
      </c>
      <c r="BQ24" s="2"/>
      <c r="BR24" s="2"/>
      <c r="BS24" s="2">
        <v>2</v>
      </c>
      <c r="BT24" s="2"/>
      <c r="BU24" s="3">
        <f t="shared" si="88"/>
        <v>0</v>
      </c>
      <c r="BV24" s="2"/>
      <c r="BW24" s="2">
        <f t="shared" si="89"/>
        <v>0</v>
      </c>
      <c r="BX24" s="1"/>
      <c r="BY24" s="1"/>
      <c r="BZ24" s="1">
        <v>2</v>
      </c>
      <c r="CA24" s="1"/>
      <c r="CB24" s="10">
        <f t="shared" si="90"/>
        <v>0</v>
      </c>
      <c r="CC24" s="1"/>
      <c r="CD24" s="1">
        <f t="shared" si="91"/>
        <v>0</v>
      </c>
      <c r="CE24" s="2"/>
      <c r="CF24" s="2"/>
      <c r="CG24" s="2">
        <v>2</v>
      </c>
      <c r="CH24" s="2"/>
      <c r="CI24" s="3">
        <f t="shared" si="92"/>
        <v>0</v>
      </c>
      <c r="CJ24" s="2"/>
      <c r="CK24" s="2">
        <f t="shared" si="93"/>
        <v>0</v>
      </c>
      <c r="CL24" s="1"/>
      <c r="CM24" s="1"/>
      <c r="CN24" s="1">
        <v>2</v>
      </c>
      <c r="CO24" s="1"/>
      <c r="CP24" s="10">
        <f t="shared" si="94"/>
        <v>0</v>
      </c>
      <c r="CQ24" s="1"/>
      <c r="CR24" s="1">
        <f t="shared" si="95"/>
        <v>0</v>
      </c>
      <c r="CS24" s="2"/>
      <c r="CT24" s="2"/>
      <c r="CU24" s="2">
        <v>2</v>
      </c>
      <c r="CV24" s="2"/>
      <c r="CW24" s="3">
        <f t="shared" si="96"/>
        <v>0</v>
      </c>
      <c r="CX24" s="2"/>
      <c r="CY24" s="2">
        <f t="shared" si="97"/>
        <v>0</v>
      </c>
      <c r="CZ24" s="1"/>
      <c r="DA24" s="1"/>
      <c r="DB24" s="1">
        <v>2</v>
      </c>
      <c r="DC24" s="1"/>
      <c r="DD24" s="10">
        <f t="shared" si="98"/>
        <v>0</v>
      </c>
      <c r="DE24" s="1"/>
      <c r="DF24" s="1">
        <f t="shared" si="99"/>
        <v>0</v>
      </c>
      <c r="DG24" s="2"/>
      <c r="DH24" s="2"/>
      <c r="DI24" s="2">
        <v>2</v>
      </c>
      <c r="DJ24" s="2"/>
      <c r="DK24" s="3">
        <f t="shared" si="100"/>
        <v>0</v>
      </c>
      <c r="DL24" s="2"/>
      <c r="DM24" s="2">
        <f t="shared" si="101"/>
        <v>0</v>
      </c>
      <c r="DN24" s="1"/>
      <c r="DO24" s="1"/>
      <c r="DP24" s="1">
        <v>2</v>
      </c>
      <c r="DQ24" s="1"/>
      <c r="DR24" s="10">
        <f t="shared" si="102"/>
        <v>0</v>
      </c>
      <c r="DS24" s="1"/>
      <c r="DT24" s="1">
        <f t="shared" si="103"/>
        <v>0</v>
      </c>
      <c r="DU24" s="2"/>
      <c r="DV24" s="2"/>
      <c r="DW24" s="2">
        <v>2</v>
      </c>
      <c r="DX24" s="2"/>
      <c r="DY24" s="3">
        <f t="shared" si="104"/>
        <v>0</v>
      </c>
      <c r="DZ24" s="2"/>
      <c r="EA24" s="2">
        <f t="shared" si="105"/>
        <v>0</v>
      </c>
      <c r="EB24" s="1"/>
      <c r="EC24" s="1"/>
      <c r="ED24" s="1">
        <v>2</v>
      </c>
      <c r="EE24" s="1"/>
      <c r="EF24" s="10">
        <f t="shared" si="106"/>
        <v>0</v>
      </c>
      <c r="EG24" s="1"/>
      <c r="EH24" s="1">
        <f t="shared" si="107"/>
        <v>0</v>
      </c>
      <c r="EI24" s="2"/>
      <c r="EJ24" s="2"/>
      <c r="EK24" s="2">
        <v>2</v>
      </c>
      <c r="EL24" s="2"/>
      <c r="EM24" s="3">
        <f t="shared" si="108"/>
        <v>0</v>
      </c>
      <c r="EN24" s="2"/>
      <c r="EO24" s="2">
        <f t="shared" si="109"/>
        <v>0</v>
      </c>
      <c r="EP24" s="1"/>
      <c r="EQ24" s="1"/>
      <c r="ER24" s="1">
        <v>2</v>
      </c>
      <c r="ES24" s="1"/>
      <c r="ET24" s="10">
        <f t="shared" si="110"/>
        <v>0</v>
      </c>
      <c r="EU24" s="1"/>
      <c r="EV24" s="1">
        <f t="shared" si="111"/>
        <v>0</v>
      </c>
      <c r="EW24" s="2"/>
      <c r="EX24" s="2"/>
      <c r="EY24" s="2">
        <v>2</v>
      </c>
      <c r="EZ24" s="2"/>
      <c r="FA24" s="3">
        <f t="shared" si="112"/>
        <v>0</v>
      </c>
      <c r="FB24" s="2"/>
      <c r="FC24" s="2">
        <f t="shared" si="113"/>
        <v>0</v>
      </c>
      <c r="FD24" s="1"/>
      <c r="FE24" s="1"/>
      <c r="FF24" s="1">
        <v>2</v>
      </c>
      <c r="FG24" s="1"/>
      <c r="FH24" s="10">
        <f t="shared" si="114"/>
        <v>0</v>
      </c>
      <c r="FI24" s="1"/>
      <c r="FJ24" s="1">
        <f t="shared" si="115"/>
        <v>0</v>
      </c>
      <c r="FK24" s="2"/>
      <c r="FL24" s="2"/>
      <c r="FM24" s="2">
        <v>2</v>
      </c>
      <c r="FN24" s="2"/>
      <c r="FO24" s="3">
        <f t="shared" si="116"/>
        <v>0</v>
      </c>
      <c r="FP24" s="2"/>
      <c r="FQ24" s="2">
        <f t="shared" si="117"/>
        <v>0</v>
      </c>
      <c r="FR24" s="1"/>
      <c r="FS24" s="1"/>
      <c r="FT24" s="1">
        <v>2</v>
      </c>
      <c r="FU24" s="1"/>
      <c r="FV24" s="10">
        <f t="shared" si="118"/>
        <v>0</v>
      </c>
      <c r="FW24" s="1"/>
      <c r="FX24" s="1">
        <f t="shared" si="119"/>
        <v>0</v>
      </c>
      <c r="FY24" s="2"/>
      <c r="FZ24" s="2"/>
      <c r="GA24" s="2">
        <v>2</v>
      </c>
      <c r="GB24" s="2"/>
      <c r="GC24" s="3">
        <f t="shared" si="120"/>
        <v>0</v>
      </c>
      <c r="GD24" s="2"/>
      <c r="GE24" s="2">
        <f t="shared" si="121"/>
        <v>0</v>
      </c>
      <c r="GF24" s="1"/>
      <c r="GG24" s="1"/>
      <c r="GH24" s="1">
        <v>2</v>
      </c>
      <c r="GI24" s="1"/>
      <c r="GJ24" s="10">
        <f t="shared" si="122"/>
        <v>0</v>
      </c>
      <c r="GK24" s="1"/>
      <c r="GL24" s="1">
        <f t="shared" si="123"/>
        <v>0</v>
      </c>
      <c r="GM24" s="2"/>
      <c r="GN24" s="2"/>
      <c r="GO24" s="2">
        <v>2</v>
      </c>
      <c r="GP24" s="2"/>
      <c r="GQ24" s="3">
        <f t="shared" si="124"/>
        <v>0</v>
      </c>
      <c r="GR24" s="2"/>
      <c r="GS24" s="2">
        <f t="shared" si="125"/>
        <v>0</v>
      </c>
      <c r="GT24" s="1"/>
      <c r="GU24" s="1"/>
      <c r="GV24" s="1">
        <v>2</v>
      </c>
      <c r="GW24" s="1"/>
      <c r="GX24" s="10">
        <f t="shared" si="126"/>
        <v>0</v>
      </c>
      <c r="GY24" s="1"/>
      <c r="GZ24" s="1">
        <f t="shared" si="127"/>
        <v>0</v>
      </c>
      <c r="HA24" s="2"/>
      <c r="HB24" s="2"/>
      <c r="HC24" s="2">
        <v>2</v>
      </c>
      <c r="HD24" s="2"/>
      <c r="HE24" s="3">
        <f t="shared" si="128"/>
        <v>0</v>
      </c>
      <c r="HF24" s="2"/>
      <c r="HG24" s="2">
        <f t="shared" si="129"/>
        <v>0</v>
      </c>
      <c r="HH24" s="1"/>
      <c r="HI24" s="1"/>
      <c r="HJ24" s="1">
        <v>2</v>
      </c>
      <c r="HK24" s="1"/>
      <c r="HL24" s="10">
        <f t="shared" si="130"/>
        <v>0</v>
      </c>
      <c r="HM24" s="1"/>
      <c r="HN24" s="1">
        <f t="shared" si="131"/>
        <v>0</v>
      </c>
      <c r="HO24" s="2"/>
      <c r="HP24" s="2"/>
      <c r="HQ24" s="2">
        <v>2</v>
      </c>
      <c r="HR24" s="2"/>
      <c r="HS24" s="3">
        <f t="shared" si="132"/>
        <v>0</v>
      </c>
      <c r="HT24" s="2"/>
      <c r="HU24" s="2">
        <f t="shared" si="133"/>
        <v>0</v>
      </c>
      <c r="HV24" s="1"/>
      <c r="HW24" s="1"/>
      <c r="HX24" s="1">
        <v>2</v>
      </c>
      <c r="HY24" s="1"/>
      <c r="HZ24" s="10">
        <f t="shared" si="134"/>
        <v>0</v>
      </c>
      <c r="IA24" s="1"/>
      <c r="IB24" s="1">
        <f t="shared" si="135"/>
        <v>0</v>
      </c>
      <c r="IC24" s="2"/>
      <c r="ID24" s="2"/>
      <c r="IE24" s="2">
        <v>2</v>
      </c>
      <c r="IF24" s="2"/>
      <c r="IG24" s="3">
        <f t="shared" si="136"/>
        <v>0</v>
      </c>
      <c r="IH24" s="2"/>
      <c r="II24" s="2">
        <f t="shared" si="137"/>
        <v>0</v>
      </c>
      <c r="IJ24" s="1"/>
      <c r="IK24" s="1"/>
      <c r="IL24" s="1">
        <v>2</v>
      </c>
      <c r="IM24" s="1"/>
      <c r="IN24" s="10">
        <f t="shared" si="138"/>
        <v>0</v>
      </c>
      <c r="IO24" s="1"/>
      <c r="IP24" s="1">
        <f t="shared" si="139"/>
        <v>0</v>
      </c>
    </row>
    <row r="25" spans="1:250" ht="34.5" customHeight="1">
      <c r="A25" s="116" t="s">
        <v>128</v>
      </c>
      <c r="B25" s="71"/>
      <c r="C25" s="72" t="s">
        <v>129</v>
      </c>
      <c r="D25" s="72" t="s">
        <v>130</v>
      </c>
      <c r="E25" s="72" t="s">
        <v>131</v>
      </c>
      <c r="F25" s="1"/>
      <c r="G25" s="1"/>
      <c r="H25" s="1">
        <v>4</v>
      </c>
      <c r="I25" s="68"/>
      <c r="J25" s="10">
        <f t="shared" si="70"/>
        <v>0</v>
      </c>
      <c r="K25" s="68"/>
      <c r="L25" s="1">
        <f t="shared" si="71"/>
        <v>0</v>
      </c>
      <c r="M25" s="2"/>
      <c r="N25" s="2"/>
      <c r="O25" s="2">
        <v>2</v>
      </c>
      <c r="P25" s="72"/>
      <c r="Q25" s="3">
        <f t="shared" si="73"/>
        <v>0</v>
      </c>
      <c r="R25" s="72"/>
      <c r="S25" s="2">
        <f t="shared" si="74"/>
        <v>0</v>
      </c>
      <c r="T25" s="1"/>
      <c r="U25" s="1"/>
      <c r="V25" s="1">
        <v>2</v>
      </c>
      <c r="W25" s="1"/>
      <c r="X25" s="10">
        <f t="shared" si="75"/>
        <v>0</v>
      </c>
      <c r="Y25" s="1"/>
      <c r="Z25" s="1">
        <f t="shared" si="76"/>
        <v>0</v>
      </c>
      <c r="AA25" s="2"/>
      <c r="AB25" s="2"/>
      <c r="AC25" s="2">
        <v>2</v>
      </c>
      <c r="AD25" s="2"/>
      <c r="AE25" s="3">
        <f t="shared" si="77"/>
        <v>0</v>
      </c>
      <c r="AF25" s="2"/>
      <c r="AG25" s="2">
        <f t="shared" si="78"/>
        <v>0</v>
      </c>
      <c r="AH25" s="1"/>
      <c r="AI25" s="1"/>
      <c r="AJ25" s="1">
        <v>2</v>
      </c>
      <c r="AK25" s="1"/>
      <c r="AL25" s="10">
        <f t="shared" si="79"/>
        <v>0</v>
      </c>
      <c r="AM25" s="1"/>
      <c r="AN25" s="1">
        <f t="shared" si="80"/>
        <v>0</v>
      </c>
      <c r="AO25" s="2"/>
      <c r="AP25" s="2"/>
      <c r="AQ25" s="2">
        <v>2</v>
      </c>
      <c r="AR25" s="2"/>
      <c r="AS25" s="3">
        <f t="shared" si="81"/>
        <v>0</v>
      </c>
      <c r="AT25" s="2"/>
      <c r="AU25" s="2">
        <f t="shared" si="72"/>
        <v>0</v>
      </c>
      <c r="AV25" s="1"/>
      <c r="AW25" s="1"/>
      <c r="AX25" s="1">
        <v>2</v>
      </c>
      <c r="AY25" s="1"/>
      <c r="AZ25" s="10">
        <f t="shared" si="82"/>
        <v>0</v>
      </c>
      <c r="BA25" s="1"/>
      <c r="BB25" s="1">
        <f t="shared" si="83"/>
        <v>0</v>
      </c>
      <c r="BC25" s="2"/>
      <c r="BD25" s="2"/>
      <c r="BE25" s="2">
        <v>2</v>
      </c>
      <c r="BF25" s="2"/>
      <c r="BG25" s="3">
        <f t="shared" si="84"/>
        <v>0</v>
      </c>
      <c r="BH25" s="2"/>
      <c r="BI25" s="2">
        <f t="shared" si="85"/>
        <v>0</v>
      </c>
      <c r="BJ25" s="1"/>
      <c r="BK25" s="1"/>
      <c r="BL25" s="1">
        <v>2</v>
      </c>
      <c r="BM25" s="1"/>
      <c r="BN25" s="10">
        <f t="shared" si="86"/>
        <v>0</v>
      </c>
      <c r="BO25" s="1"/>
      <c r="BP25" s="1">
        <f t="shared" si="87"/>
        <v>0</v>
      </c>
      <c r="BQ25" s="2"/>
      <c r="BR25" s="2"/>
      <c r="BS25" s="2">
        <v>2</v>
      </c>
      <c r="BT25" s="2"/>
      <c r="BU25" s="3">
        <f t="shared" si="88"/>
        <v>0</v>
      </c>
      <c r="BV25" s="2"/>
      <c r="BW25" s="2">
        <f t="shared" si="89"/>
        <v>0</v>
      </c>
      <c r="BX25" s="1"/>
      <c r="BY25" s="1"/>
      <c r="BZ25" s="1">
        <v>2</v>
      </c>
      <c r="CA25" s="1"/>
      <c r="CB25" s="10">
        <f t="shared" si="90"/>
        <v>0</v>
      </c>
      <c r="CC25" s="1"/>
      <c r="CD25" s="1">
        <f t="shared" si="91"/>
        <v>0</v>
      </c>
      <c r="CE25" s="2"/>
      <c r="CF25" s="2"/>
      <c r="CG25" s="2">
        <v>2</v>
      </c>
      <c r="CH25" s="2"/>
      <c r="CI25" s="3">
        <f t="shared" si="92"/>
        <v>0</v>
      </c>
      <c r="CJ25" s="2"/>
      <c r="CK25" s="2">
        <f t="shared" si="93"/>
        <v>0</v>
      </c>
      <c r="CL25" s="1"/>
      <c r="CM25" s="1"/>
      <c r="CN25" s="1">
        <v>2</v>
      </c>
      <c r="CO25" s="1"/>
      <c r="CP25" s="10">
        <f t="shared" si="94"/>
        <v>0</v>
      </c>
      <c r="CQ25" s="1"/>
      <c r="CR25" s="1">
        <f t="shared" si="95"/>
        <v>0</v>
      </c>
      <c r="CS25" s="2"/>
      <c r="CT25" s="2"/>
      <c r="CU25" s="2">
        <v>2</v>
      </c>
      <c r="CV25" s="2"/>
      <c r="CW25" s="3">
        <f t="shared" si="96"/>
        <v>0</v>
      </c>
      <c r="CX25" s="2"/>
      <c r="CY25" s="2">
        <f t="shared" si="97"/>
        <v>0</v>
      </c>
      <c r="CZ25" s="1"/>
      <c r="DA25" s="1"/>
      <c r="DB25" s="1">
        <v>2</v>
      </c>
      <c r="DC25" s="1"/>
      <c r="DD25" s="10">
        <f t="shared" si="98"/>
        <v>0</v>
      </c>
      <c r="DE25" s="1"/>
      <c r="DF25" s="1">
        <f t="shared" si="99"/>
        <v>0</v>
      </c>
      <c r="DG25" s="2"/>
      <c r="DH25" s="2"/>
      <c r="DI25" s="2">
        <v>2</v>
      </c>
      <c r="DJ25" s="2"/>
      <c r="DK25" s="3">
        <f t="shared" si="100"/>
        <v>0</v>
      </c>
      <c r="DL25" s="2"/>
      <c r="DM25" s="2">
        <f t="shared" si="101"/>
        <v>0</v>
      </c>
      <c r="DN25" s="1"/>
      <c r="DO25" s="1"/>
      <c r="DP25" s="1">
        <v>2</v>
      </c>
      <c r="DQ25" s="1"/>
      <c r="DR25" s="10">
        <f t="shared" si="102"/>
        <v>0</v>
      </c>
      <c r="DS25" s="1"/>
      <c r="DT25" s="1">
        <f t="shared" si="103"/>
        <v>0</v>
      </c>
      <c r="DU25" s="2"/>
      <c r="DV25" s="2"/>
      <c r="DW25" s="2">
        <v>2</v>
      </c>
      <c r="DX25" s="2"/>
      <c r="DY25" s="3">
        <f t="shared" si="104"/>
        <v>0</v>
      </c>
      <c r="DZ25" s="2"/>
      <c r="EA25" s="2">
        <f t="shared" si="105"/>
        <v>0</v>
      </c>
      <c r="EB25" s="1"/>
      <c r="EC25" s="1"/>
      <c r="ED25" s="1">
        <v>2</v>
      </c>
      <c r="EE25" s="1"/>
      <c r="EF25" s="10">
        <f t="shared" si="106"/>
        <v>0</v>
      </c>
      <c r="EG25" s="1"/>
      <c r="EH25" s="1">
        <f t="shared" si="107"/>
        <v>0</v>
      </c>
      <c r="EI25" s="2"/>
      <c r="EJ25" s="2"/>
      <c r="EK25" s="2">
        <v>2</v>
      </c>
      <c r="EL25" s="2"/>
      <c r="EM25" s="3">
        <f t="shared" si="108"/>
        <v>0</v>
      </c>
      <c r="EN25" s="2"/>
      <c r="EO25" s="2">
        <f t="shared" si="109"/>
        <v>0</v>
      </c>
      <c r="EP25" s="1"/>
      <c r="EQ25" s="1"/>
      <c r="ER25" s="1">
        <v>2</v>
      </c>
      <c r="ES25" s="1"/>
      <c r="ET25" s="10">
        <f t="shared" si="110"/>
        <v>0</v>
      </c>
      <c r="EU25" s="1"/>
      <c r="EV25" s="1">
        <f t="shared" si="111"/>
        <v>0</v>
      </c>
      <c r="EW25" s="2"/>
      <c r="EX25" s="2"/>
      <c r="EY25" s="2">
        <v>2</v>
      </c>
      <c r="EZ25" s="2"/>
      <c r="FA25" s="3">
        <f t="shared" si="112"/>
        <v>0</v>
      </c>
      <c r="FB25" s="2"/>
      <c r="FC25" s="2">
        <f t="shared" si="113"/>
        <v>0</v>
      </c>
      <c r="FD25" s="1"/>
      <c r="FE25" s="1"/>
      <c r="FF25" s="1">
        <v>2</v>
      </c>
      <c r="FG25" s="1"/>
      <c r="FH25" s="10">
        <f t="shared" si="114"/>
        <v>0</v>
      </c>
      <c r="FI25" s="1"/>
      <c r="FJ25" s="1">
        <f t="shared" si="115"/>
        <v>0</v>
      </c>
      <c r="FK25" s="2"/>
      <c r="FL25" s="2"/>
      <c r="FM25" s="2">
        <v>2</v>
      </c>
      <c r="FN25" s="2"/>
      <c r="FO25" s="3">
        <f t="shared" si="116"/>
        <v>0</v>
      </c>
      <c r="FP25" s="2"/>
      <c r="FQ25" s="2">
        <f t="shared" si="117"/>
        <v>0</v>
      </c>
      <c r="FR25" s="1"/>
      <c r="FS25" s="1"/>
      <c r="FT25" s="1">
        <v>2</v>
      </c>
      <c r="FU25" s="1"/>
      <c r="FV25" s="10">
        <f t="shared" si="118"/>
        <v>0</v>
      </c>
      <c r="FW25" s="1"/>
      <c r="FX25" s="1">
        <f t="shared" si="119"/>
        <v>0</v>
      </c>
      <c r="FY25" s="2"/>
      <c r="FZ25" s="2"/>
      <c r="GA25" s="2">
        <v>2</v>
      </c>
      <c r="GB25" s="2"/>
      <c r="GC25" s="3">
        <f t="shared" si="120"/>
        <v>0</v>
      </c>
      <c r="GD25" s="2"/>
      <c r="GE25" s="2">
        <f t="shared" si="121"/>
        <v>0</v>
      </c>
      <c r="GF25" s="1"/>
      <c r="GG25" s="1"/>
      <c r="GH25" s="1">
        <v>2</v>
      </c>
      <c r="GI25" s="1"/>
      <c r="GJ25" s="10">
        <f t="shared" si="122"/>
        <v>0</v>
      </c>
      <c r="GK25" s="1"/>
      <c r="GL25" s="1">
        <f t="shared" si="123"/>
        <v>0</v>
      </c>
      <c r="GM25" s="2"/>
      <c r="GN25" s="2"/>
      <c r="GO25" s="2">
        <v>2</v>
      </c>
      <c r="GP25" s="2"/>
      <c r="GQ25" s="3">
        <f t="shared" si="124"/>
        <v>0</v>
      </c>
      <c r="GR25" s="2"/>
      <c r="GS25" s="2">
        <f t="shared" si="125"/>
        <v>0</v>
      </c>
      <c r="GT25" s="1"/>
      <c r="GU25" s="1"/>
      <c r="GV25" s="1">
        <v>2</v>
      </c>
      <c r="GW25" s="1"/>
      <c r="GX25" s="10">
        <f t="shared" si="126"/>
        <v>0</v>
      </c>
      <c r="GY25" s="1"/>
      <c r="GZ25" s="1">
        <f t="shared" si="127"/>
        <v>0</v>
      </c>
      <c r="HA25" s="2"/>
      <c r="HB25" s="2"/>
      <c r="HC25" s="2">
        <v>2</v>
      </c>
      <c r="HD25" s="2"/>
      <c r="HE25" s="3">
        <f t="shared" si="128"/>
        <v>0</v>
      </c>
      <c r="HF25" s="2"/>
      <c r="HG25" s="2">
        <f t="shared" si="129"/>
        <v>0</v>
      </c>
      <c r="HH25" s="1"/>
      <c r="HI25" s="1"/>
      <c r="HJ25" s="1">
        <v>2</v>
      </c>
      <c r="HK25" s="1"/>
      <c r="HL25" s="10">
        <f t="shared" si="130"/>
        <v>0</v>
      </c>
      <c r="HM25" s="1"/>
      <c r="HN25" s="1">
        <f t="shared" si="131"/>
        <v>0</v>
      </c>
      <c r="HO25" s="2"/>
      <c r="HP25" s="2"/>
      <c r="HQ25" s="2">
        <v>2</v>
      </c>
      <c r="HR25" s="2"/>
      <c r="HS25" s="3">
        <f t="shared" si="132"/>
        <v>0</v>
      </c>
      <c r="HT25" s="2"/>
      <c r="HU25" s="2">
        <f t="shared" si="133"/>
        <v>0</v>
      </c>
      <c r="HV25" s="1"/>
      <c r="HW25" s="1"/>
      <c r="HX25" s="1">
        <v>2</v>
      </c>
      <c r="HY25" s="1"/>
      <c r="HZ25" s="10">
        <f t="shared" si="134"/>
        <v>0</v>
      </c>
      <c r="IA25" s="1"/>
      <c r="IB25" s="1">
        <f t="shared" si="135"/>
        <v>0</v>
      </c>
      <c r="IC25" s="2"/>
      <c r="ID25" s="2"/>
      <c r="IE25" s="2">
        <v>2</v>
      </c>
      <c r="IF25" s="2"/>
      <c r="IG25" s="3">
        <f t="shared" si="136"/>
        <v>0</v>
      </c>
      <c r="IH25" s="2"/>
      <c r="II25" s="2">
        <f t="shared" si="137"/>
        <v>0</v>
      </c>
      <c r="IJ25" s="1"/>
      <c r="IK25" s="1"/>
      <c r="IL25" s="1">
        <v>2</v>
      </c>
      <c r="IM25" s="1"/>
      <c r="IN25" s="10">
        <f t="shared" si="138"/>
        <v>0</v>
      </c>
      <c r="IO25" s="1"/>
      <c r="IP25" s="1">
        <f t="shared" si="139"/>
        <v>0</v>
      </c>
    </row>
    <row r="26" spans="1:250" ht="31.5" customHeight="1">
      <c r="A26" s="116" t="s">
        <v>132</v>
      </c>
      <c r="B26" s="71"/>
      <c r="C26" s="72" t="s">
        <v>133</v>
      </c>
      <c r="D26" s="72" t="s">
        <v>134</v>
      </c>
      <c r="E26" s="72" t="s">
        <v>135</v>
      </c>
      <c r="F26" s="1"/>
      <c r="G26" s="1"/>
      <c r="H26" s="1">
        <v>2</v>
      </c>
      <c r="I26" s="68"/>
      <c r="J26" s="10">
        <f t="shared" si="70"/>
        <v>0</v>
      </c>
      <c r="K26" s="68"/>
      <c r="L26" s="1">
        <f t="shared" si="71"/>
        <v>0</v>
      </c>
      <c r="M26" s="2"/>
      <c r="N26" s="2"/>
      <c r="O26" s="2">
        <v>2</v>
      </c>
      <c r="P26" s="72"/>
      <c r="Q26" s="3">
        <f t="shared" si="73"/>
        <v>0</v>
      </c>
      <c r="R26" s="72"/>
      <c r="S26" s="2">
        <f t="shared" si="74"/>
        <v>0</v>
      </c>
      <c r="T26" s="1"/>
      <c r="U26" s="1"/>
      <c r="V26" s="1">
        <v>2</v>
      </c>
      <c r="W26" s="1"/>
      <c r="X26" s="10">
        <f t="shared" si="75"/>
        <v>0</v>
      </c>
      <c r="Y26" s="1"/>
      <c r="Z26" s="1">
        <f t="shared" si="76"/>
        <v>0</v>
      </c>
      <c r="AA26" s="2"/>
      <c r="AB26" s="2"/>
      <c r="AC26" s="2">
        <v>2</v>
      </c>
      <c r="AD26" s="2"/>
      <c r="AE26" s="3">
        <f t="shared" si="77"/>
        <v>0</v>
      </c>
      <c r="AF26" s="2"/>
      <c r="AG26" s="2">
        <f t="shared" si="78"/>
        <v>0</v>
      </c>
      <c r="AH26" s="1"/>
      <c r="AI26" s="1"/>
      <c r="AJ26" s="1">
        <v>2</v>
      </c>
      <c r="AK26" s="1"/>
      <c r="AL26" s="10">
        <f t="shared" si="79"/>
        <v>0</v>
      </c>
      <c r="AM26" s="1"/>
      <c r="AN26" s="1">
        <f t="shared" si="80"/>
        <v>0</v>
      </c>
      <c r="AO26" s="2"/>
      <c r="AP26" s="2"/>
      <c r="AQ26" s="2">
        <v>2</v>
      </c>
      <c r="AR26" s="2"/>
      <c r="AS26" s="3">
        <f t="shared" si="81"/>
        <v>0</v>
      </c>
      <c r="AT26" s="2"/>
      <c r="AU26" s="2">
        <f t="shared" si="72"/>
        <v>0</v>
      </c>
      <c r="AV26" s="1"/>
      <c r="AW26" s="1"/>
      <c r="AX26" s="1">
        <v>2</v>
      </c>
      <c r="AY26" s="1"/>
      <c r="AZ26" s="10">
        <f t="shared" si="82"/>
        <v>0</v>
      </c>
      <c r="BA26" s="1"/>
      <c r="BB26" s="1">
        <f t="shared" si="83"/>
        <v>0</v>
      </c>
      <c r="BC26" s="2"/>
      <c r="BD26" s="2"/>
      <c r="BE26" s="2">
        <v>2</v>
      </c>
      <c r="BF26" s="2"/>
      <c r="BG26" s="3">
        <f t="shared" si="84"/>
        <v>0</v>
      </c>
      <c r="BH26" s="2"/>
      <c r="BI26" s="2">
        <f t="shared" si="85"/>
        <v>0</v>
      </c>
      <c r="BJ26" s="1"/>
      <c r="BK26" s="1"/>
      <c r="BL26" s="1">
        <v>2</v>
      </c>
      <c r="BM26" s="1"/>
      <c r="BN26" s="10">
        <f t="shared" si="86"/>
        <v>0</v>
      </c>
      <c r="BO26" s="1"/>
      <c r="BP26" s="1">
        <f t="shared" si="87"/>
        <v>0</v>
      </c>
      <c r="BQ26" s="2"/>
      <c r="BR26" s="2"/>
      <c r="BS26" s="2">
        <v>2</v>
      </c>
      <c r="BT26" s="2"/>
      <c r="BU26" s="3">
        <f t="shared" si="88"/>
        <v>0</v>
      </c>
      <c r="BV26" s="2"/>
      <c r="BW26" s="2">
        <f t="shared" si="89"/>
        <v>0</v>
      </c>
      <c r="BX26" s="1"/>
      <c r="BY26" s="1"/>
      <c r="BZ26" s="1">
        <v>2</v>
      </c>
      <c r="CA26" s="1"/>
      <c r="CB26" s="10">
        <f t="shared" si="90"/>
        <v>0</v>
      </c>
      <c r="CC26" s="1"/>
      <c r="CD26" s="1">
        <f t="shared" si="91"/>
        <v>0</v>
      </c>
      <c r="CE26" s="2"/>
      <c r="CF26" s="2"/>
      <c r="CG26" s="2">
        <v>2</v>
      </c>
      <c r="CH26" s="2"/>
      <c r="CI26" s="3">
        <f t="shared" si="92"/>
        <v>0</v>
      </c>
      <c r="CJ26" s="2"/>
      <c r="CK26" s="2">
        <f t="shared" si="93"/>
        <v>0</v>
      </c>
      <c r="CL26" s="1"/>
      <c r="CM26" s="1"/>
      <c r="CN26" s="1">
        <v>2</v>
      </c>
      <c r="CO26" s="1"/>
      <c r="CP26" s="10">
        <f t="shared" si="94"/>
        <v>0</v>
      </c>
      <c r="CQ26" s="1"/>
      <c r="CR26" s="1">
        <f t="shared" si="95"/>
        <v>0</v>
      </c>
      <c r="CS26" s="2"/>
      <c r="CT26" s="2"/>
      <c r="CU26" s="2">
        <v>2</v>
      </c>
      <c r="CV26" s="2"/>
      <c r="CW26" s="3">
        <f t="shared" si="96"/>
        <v>0</v>
      </c>
      <c r="CX26" s="2"/>
      <c r="CY26" s="2">
        <f t="shared" si="97"/>
        <v>0</v>
      </c>
      <c r="CZ26" s="1"/>
      <c r="DA26" s="1"/>
      <c r="DB26" s="1">
        <v>2</v>
      </c>
      <c r="DC26" s="1"/>
      <c r="DD26" s="10">
        <f t="shared" si="98"/>
        <v>0</v>
      </c>
      <c r="DE26" s="1"/>
      <c r="DF26" s="1">
        <f t="shared" si="99"/>
        <v>0</v>
      </c>
      <c r="DG26" s="2"/>
      <c r="DH26" s="2"/>
      <c r="DI26" s="2">
        <v>2</v>
      </c>
      <c r="DJ26" s="2"/>
      <c r="DK26" s="3">
        <f t="shared" si="100"/>
        <v>0</v>
      </c>
      <c r="DL26" s="2"/>
      <c r="DM26" s="2">
        <f t="shared" si="101"/>
        <v>0</v>
      </c>
      <c r="DN26" s="1"/>
      <c r="DO26" s="1"/>
      <c r="DP26" s="1">
        <v>2</v>
      </c>
      <c r="DQ26" s="1"/>
      <c r="DR26" s="10">
        <f t="shared" si="102"/>
        <v>0</v>
      </c>
      <c r="DS26" s="1"/>
      <c r="DT26" s="1">
        <f t="shared" si="103"/>
        <v>0</v>
      </c>
      <c r="DU26" s="2"/>
      <c r="DV26" s="2"/>
      <c r="DW26" s="2">
        <v>2</v>
      </c>
      <c r="DX26" s="2"/>
      <c r="DY26" s="3">
        <f t="shared" si="104"/>
        <v>0</v>
      </c>
      <c r="DZ26" s="2"/>
      <c r="EA26" s="2">
        <f t="shared" si="105"/>
        <v>0</v>
      </c>
      <c r="EB26" s="1"/>
      <c r="EC26" s="1"/>
      <c r="ED26" s="1">
        <v>2</v>
      </c>
      <c r="EE26" s="1"/>
      <c r="EF26" s="10">
        <f t="shared" si="106"/>
        <v>0</v>
      </c>
      <c r="EG26" s="1"/>
      <c r="EH26" s="1">
        <f t="shared" si="107"/>
        <v>0</v>
      </c>
      <c r="EI26" s="2"/>
      <c r="EJ26" s="2"/>
      <c r="EK26" s="2">
        <v>2</v>
      </c>
      <c r="EL26" s="2"/>
      <c r="EM26" s="3">
        <f t="shared" si="108"/>
        <v>0</v>
      </c>
      <c r="EN26" s="2"/>
      <c r="EO26" s="2">
        <f t="shared" si="109"/>
        <v>0</v>
      </c>
      <c r="EP26" s="1"/>
      <c r="EQ26" s="1"/>
      <c r="ER26" s="1">
        <v>2</v>
      </c>
      <c r="ES26" s="1"/>
      <c r="ET26" s="10">
        <f t="shared" si="110"/>
        <v>0</v>
      </c>
      <c r="EU26" s="1"/>
      <c r="EV26" s="1">
        <f t="shared" si="111"/>
        <v>0</v>
      </c>
      <c r="EW26" s="2"/>
      <c r="EX26" s="2"/>
      <c r="EY26" s="2">
        <v>2</v>
      </c>
      <c r="EZ26" s="2"/>
      <c r="FA26" s="3">
        <f t="shared" si="112"/>
        <v>0</v>
      </c>
      <c r="FB26" s="2"/>
      <c r="FC26" s="2">
        <f t="shared" si="113"/>
        <v>0</v>
      </c>
      <c r="FD26" s="1"/>
      <c r="FE26" s="1"/>
      <c r="FF26" s="1">
        <v>2</v>
      </c>
      <c r="FG26" s="1"/>
      <c r="FH26" s="10">
        <f t="shared" si="114"/>
        <v>0</v>
      </c>
      <c r="FI26" s="1"/>
      <c r="FJ26" s="1">
        <f t="shared" si="115"/>
        <v>0</v>
      </c>
      <c r="FK26" s="2"/>
      <c r="FL26" s="2"/>
      <c r="FM26" s="2">
        <v>2</v>
      </c>
      <c r="FN26" s="2"/>
      <c r="FO26" s="3">
        <f t="shared" si="116"/>
        <v>0</v>
      </c>
      <c r="FP26" s="2"/>
      <c r="FQ26" s="2">
        <f t="shared" si="117"/>
        <v>0</v>
      </c>
      <c r="FR26" s="1"/>
      <c r="FS26" s="1"/>
      <c r="FT26" s="1">
        <v>2</v>
      </c>
      <c r="FU26" s="1"/>
      <c r="FV26" s="10">
        <f t="shared" si="118"/>
        <v>0</v>
      </c>
      <c r="FW26" s="1"/>
      <c r="FX26" s="1">
        <f t="shared" si="119"/>
        <v>0</v>
      </c>
      <c r="FY26" s="2"/>
      <c r="FZ26" s="2"/>
      <c r="GA26" s="2">
        <v>2</v>
      </c>
      <c r="GB26" s="2"/>
      <c r="GC26" s="3">
        <f t="shared" si="120"/>
        <v>0</v>
      </c>
      <c r="GD26" s="2"/>
      <c r="GE26" s="2">
        <f t="shared" si="121"/>
        <v>0</v>
      </c>
      <c r="GF26" s="1"/>
      <c r="GG26" s="1"/>
      <c r="GH26" s="1">
        <v>2</v>
      </c>
      <c r="GI26" s="1"/>
      <c r="GJ26" s="10">
        <f t="shared" si="122"/>
        <v>0</v>
      </c>
      <c r="GK26" s="1"/>
      <c r="GL26" s="1">
        <f t="shared" si="123"/>
        <v>0</v>
      </c>
      <c r="GM26" s="2"/>
      <c r="GN26" s="2"/>
      <c r="GO26" s="2">
        <v>2</v>
      </c>
      <c r="GP26" s="2"/>
      <c r="GQ26" s="3">
        <f t="shared" si="124"/>
        <v>0</v>
      </c>
      <c r="GR26" s="2"/>
      <c r="GS26" s="2">
        <f t="shared" si="125"/>
        <v>0</v>
      </c>
      <c r="GT26" s="1"/>
      <c r="GU26" s="1"/>
      <c r="GV26" s="1">
        <v>2</v>
      </c>
      <c r="GW26" s="1"/>
      <c r="GX26" s="10">
        <f t="shared" si="126"/>
        <v>0</v>
      </c>
      <c r="GY26" s="1"/>
      <c r="GZ26" s="1">
        <f t="shared" si="127"/>
        <v>0</v>
      </c>
      <c r="HA26" s="2"/>
      <c r="HB26" s="2"/>
      <c r="HC26" s="2">
        <v>2</v>
      </c>
      <c r="HD26" s="2"/>
      <c r="HE26" s="3">
        <f t="shared" si="128"/>
        <v>0</v>
      </c>
      <c r="HF26" s="2"/>
      <c r="HG26" s="2">
        <f t="shared" si="129"/>
        <v>0</v>
      </c>
      <c r="HH26" s="1"/>
      <c r="HI26" s="1"/>
      <c r="HJ26" s="1">
        <v>2</v>
      </c>
      <c r="HK26" s="1"/>
      <c r="HL26" s="10">
        <f t="shared" si="130"/>
        <v>0</v>
      </c>
      <c r="HM26" s="1"/>
      <c r="HN26" s="1">
        <f t="shared" si="131"/>
        <v>0</v>
      </c>
      <c r="HO26" s="2"/>
      <c r="HP26" s="2"/>
      <c r="HQ26" s="2">
        <v>2</v>
      </c>
      <c r="HR26" s="2"/>
      <c r="HS26" s="3">
        <f t="shared" si="132"/>
        <v>0</v>
      </c>
      <c r="HT26" s="2"/>
      <c r="HU26" s="2">
        <f t="shared" si="133"/>
        <v>0</v>
      </c>
      <c r="HV26" s="1"/>
      <c r="HW26" s="1"/>
      <c r="HX26" s="1">
        <v>2</v>
      </c>
      <c r="HY26" s="1"/>
      <c r="HZ26" s="10">
        <f t="shared" si="134"/>
        <v>0</v>
      </c>
      <c r="IA26" s="1"/>
      <c r="IB26" s="1">
        <f t="shared" si="135"/>
        <v>0</v>
      </c>
      <c r="IC26" s="2"/>
      <c r="ID26" s="2"/>
      <c r="IE26" s="2">
        <v>2</v>
      </c>
      <c r="IF26" s="2"/>
      <c r="IG26" s="3">
        <f t="shared" si="136"/>
        <v>0</v>
      </c>
      <c r="IH26" s="2"/>
      <c r="II26" s="2">
        <f t="shared" si="137"/>
        <v>0</v>
      </c>
      <c r="IJ26" s="1"/>
      <c r="IK26" s="1"/>
      <c r="IL26" s="1">
        <v>2</v>
      </c>
      <c r="IM26" s="1"/>
      <c r="IN26" s="10">
        <f t="shared" si="138"/>
        <v>0</v>
      </c>
      <c r="IO26" s="1"/>
      <c r="IP26" s="1">
        <f t="shared" si="139"/>
        <v>0</v>
      </c>
    </row>
    <row r="27" spans="1:250" s="5" customFormat="1" ht="61.5" customHeight="1">
      <c r="A27" s="116" t="s">
        <v>136</v>
      </c>
      <c r="B27" s="77"/>
      <c r="C27" s="72" t="s">
        <v>137</v>
      </c>
      <c r="D27" s="72" t="s">
        <v>138</v>
      </c>
      <c r="E27" s="72" t="s">
        <v>139</v>
      </c>
      <c r="F27" s="1"/>
      <c r="G27" s="1"/>
      <c r="H27" s="1">
        <v>2</v>
      </c>
      <c r="I27" s="68"/>
      <c r="J27" s="10">
        <f t="shared" si="70"/>
        <v>0</v>
      </c>
      <c r="K27" s="68"/>
      <c r="L27" s="1">
        <f t="shared" si="71"/>
        <v>0</v>
      </c>
      <c r="M27" s="2"/>
      <c r="N27" s="2"/>
      <c r="O27" s="2">
        <v>2</v>
      </c>
      <c r="P27" s="72"/>
      <c r="Q27" s="3">
        <f t="shared" si="73"/>
        <v>0</v>
      </c>
      <c r="R27" s="72"/>
      <c r="S27" s="2">
        <f t="shared" si="74"/>
        <v>0</v>
      </c>
      <c r="T27" s="1"/>
      <c r="U27" s="1"/>
      <c r="V27" s="1">
        <v>2</v>
      </c>
      <c r="W27" s="1"/>
      <c r="X27" s="10">
        <f t="shared" si="75"/>
        <v>0</v>
      </c>
      <c r="Y27" s="1"/>
      <c r="Z27" s="1">
        <f t="shared" si="76"/>
        <v>0</v>
      </c>
      <c r="AA27" s="2"/>
      <c r="AB27" s="2"/>
      <c r="AC27" s="2">
        <v>2</v>
      </c>
      <c r="AD27" s="2"/>
      <c r="AE27" s="3">
        <f t="shared" si="77"/>
        <v>0</v>
      </c>
      <c r="AF27" s="2"/>
      <c r="AG27" s="2">
        <f t="shared" si="78"/>
        <v>0</v>
      </c>
      <c r="AH27" s="1"/>
      <c r="AI27" s="1"/>
      <c r="AJ27" s="1">
        <v>2</v>
      </c>
      <c r="AK27" s="1"/>
      <c r="AL27" s="10">
        <f t="shared" si="79"/>
        <v>0</v>
      </c>
      <c r="AM27" s="1"/>
      <c r="AN27" s="1">
        <f t="shared" si="80"/>
        <v>0</v>
      </c>
      <c r="AO27" s="2"/>
      <c r="AP27" s="2"/>
      <c r="AQ27" s="2">
        <v>2</v>
      </c>
      <c r="AR27" s="2"/>
      <c r="AS27" s="3">
        <f t="shared" si="81"/>
        <v>0</v>
      </c>
      <c r="AT27" s="2"/>
      <c r="AU27" s="2">
        <f t="shared" si="72"/>
        <v>0</v>
      </c>
      <c r="AV27" s="1"/>
      <c r="AW27" s="1"/>
      <c r="AX27" s="1">
        <v>2</v>
      </c>
      <c r="AY27" s="1"/>
      <c r="AZ27" s="10">
        <f t="shared" si="82"/>
        <v>0</v>
      </c>
      <c r="BA27" s="1"/>
      <c r="BB27" s="1">
        <f t="shared" si="83"/>
        <v>0</v>
      </c>
      <c r="BC27" s="2"/>
      <c r="BD27" s="2"/>
      <c r="BE27" s="2">
        <v>2</v>
      </c>
      <c r="BF27" s="2"/>
      <c r="BG27" s="3">
        <f t="shared" si="84"/>
        <v>0</v>
      </c>
      <c r="BH27" s="2"/>
      <c r="BI27" s="2">
        <f t="shared" si="85"/>
        <v>0</v>
      </c>
      <c r="BJ27" s="1"/>
      <c r="BK27" s="1"/>
      <c r="BL27" s="1">
        <v>2</v>
      </c>
      <c r="BM27" s="1"/>
      <c r="BN27" s="10">
        <f t="shared" si="86"/>
        <v>0</v>
      </c>
      <c r="BO27" s="1"/>
      <c r="BP27" s="1">
        <f t="shared" si="87"/>
        <v>0</v>
      </c>
      <c r="BQ27" s="2"/>
      <c r="BR27" s="2"/>
      <c r="BS27" s="2">
        <v>2</v>
      </c>
      <c r="BT27" s="2"/>
      <c r="BU27" s="3">
        <f t="shared" si="88"/>
        <v>0</v>
      </c>
      <c r="BV27" s="2"/>
      <c r="BW27" s="2">
        <f t="shared" si="89"/>
        <v>0</v>
      </c>
      <c r="BX27" s="1"/>
      <c r="BY27" s="1"/>
      <c r="BZ27" s="1">
        <v>2</v>
      </c>
      <c r="CA27" s="1"/>
      <c r="CB27" s="10">
        <f t="shared" si="90"/>
        <v>0</v>
      </c>
      <c r="CC27" s="1"/>
      <c r="CD27" s="1">
        <f t="shared" si="91"/>
        <v>0</v>
      </c>
      <c r="CE27" s="2"/>
      <c r="CF27" s="2"/>
      <c r="CG27" s="2">
        <v>2</v>
      </c>
      <c r="CH27" s="2"/>
      <c r="CI27" s="3">
        <f t="shared" si="92"/>
        <v>0</v>
      </c>
      <c r="CJ27" s="2"/>
      <c r="CK27" s="2">
        <f t="shared" si="93"/>
        <v>0</v>
      </c>
      <c r="CL27" s="1"/>
      <c r="CM27" s="1"/>
      <c r="CN27" s="1">
        <v>2</v>
      </c>
      <c r="CO27" s="1"/>
      <c r="CP27" s="10">
        <f t="shared" si="94"/>
        <v>0</v>
      </c>
      <c r="CQ27" s="1"/>
      <c r="CR27" s="1">
        <f t="shared" si="95"/>
        <v>0</v>
      </c>
      <c r="CS27" s="2"/>
      <c r="CT27" s="2"/>
      <c r="CU27" s="2">
        <v>2</v>
      </c>
      <c r="CV27" s="2"/>
      <c r="CW27" s="3">
        <f t="shared" si="96"/>
        <v>0</v>
      </c>
      <c r="CX27" s="2"/>
      <c r="CY27" s="2">
        <f t="shared" si="97"/>
        <v>0</v>
      </c>
      <c r="CZ27" s="1"/>
      <c r="DA27" s="1"/>
      <c r="DB27" s="1">
        <v>2</v>
      </c>
      <c r="DC27" s="1"/>
      <c r="DD27" s="10">
        <f t="shared" si="98"/>
        <v>0</v>
      </c>
      <c r="DE27" s="1"/>
      <c r="DF27" s="1">
        <f t="shared" si="99"/>
        <v>0</v>
      </c>
      <c r="DG27" s="2"/>
      <c r="DH27" s="2"/>
      <c r="DI27" s="2">
        <v>2</v>
      </c>
      <c r="DJ27" s="2"/>
      <c r="DK27" s="3">
        <f t="shared" si="100"/>
        <v>0</v>
      </c>
      <c r="DL27" s="2"/>
      <c r="DM27" s="2">
        <f t="shared" si="101"/>
        <v>0</v>
      </c>
      <c r="DN27" s="1"/>
      <c r="DO27" s="1"/>
      <c r="DP27" s="1">
        <v>2</v>
      </c>
      <c r="DQ27" s="1"/>
      <c r="DR27" s="10">
        <f t="shared" si="102"/>
        <v>0</v>
      </c>
      <c r="DS27" s="1"/>
      <c r="DT27" s="1">
        <f t="shared" si="103"/>
        <v>0</v>
      </c>
      <c r="DU27" s="2"/>
      <c r="DV27" s="2"/>
      <c r="DW27" s="2">
        <v>2</v>
      </c>
      <c r="DX27" s="2"/>
      <c r="DY27" s="3">
        <f t="shared" si="104"/>
        <v>0</v>
      </c>
      <c r="DZ27" s="2"/>
      <c r="EA27" s="2">
        <f t="shared" si="105"/>
        <v>0</v>
      </c>
      <c r="EB27" s="1"/>
      <c r="EC27" s="1"/>
      <c r="ED27" s="1">
        <v>2</v>
      </c>
      <c r="EE27" s="1"/>
      <c r="EF27" s="10">
        <f t="shared" si="106"/>
        <v>0</v>
      </c>
      <c r="EG27" s="1"/>
      <c r="EH27" s="1">
        <f t="shared" si="107"/>
        <v>0</v>
      </c>
      <c r="EI27" s="2"/>
      <c r="EJ27" s="2"/>
      <c r="EK27" s="2">
        <v>2</v>
      </c>
      <c r="EL27" s="2"/>
      <c r="EM27" s="3">
        <f t="shared" si="108"/>
        <v>0</v>
      </c>
      <c r="EN27" s="2"/>
      <c r="EO27" s="2">
        <f t="shared" si="109"/>
        <v>0</v>
      </c>
      <c r="EP27" s="1"/>
      <c r="EQ27" s="1"/>
      <c r="ER27" s="1">
        <v>2</v>
      </c>
      <c r="ES27" s="1"/>
      <c r="ET27" s="10">
        <f t="shared" si="110"/>
        <v>0</v>
      </c>
      <c r="EU27" s="1"/>
      <c r="EV27" s="1">
        <f t="shared" si="111"/>
        <v>0</v>
      </c>
      <c r="EW27" s="2"/>
      <c r="EX27" s="2"/>
      <c r="EY27" s="2">
        <v>2</v>
      </c>
      <c r="EZ27" s="2"/>
      <c r="FA27" s="3">
        <f t="shared" si="112"/>
        <v>0</v>
      </c>
      <c r="FB27" s="2"/>
      <c r="FC27" s="2">
        <f t="shared" si="113"/>
        <v>0</v>
      </c>
      <c r="FD27" s="1"/>
      <c r="FE27" s="1"/>
      <c r="FF27" s="1">
        <v>2</v>
      </c>
      <c r="FG27" s="1"/>
      <c r="FH27" s="10">
        <f t="shared" si="114"/>
        <v>0</v>
      </c>
      <c r="FI27" s="1"/>
      <c r="FJ27" s="1">
        <f t="shared" si="115"/>
        <v>0</v>
      </c>
      <c r="FK27" s="2"/>
      <c r="FL27" s="2"/>
      <c r="FM27" s="2">
        <v>2</v>
      </c>
      <c r="FN27" s="2"/>
      <c r="FO27" s="3">
        <f t="shared" si="116"/>
        <v>0</v>
      </c>
      <c r="FP27" s="2"/>
      <c r="FQ27" s="2">
        <f t="shared" si="117"/>
        <v>0</v>
      </c>
      <c r="FR27" s="1"/>
      <c r="FS27" s="1"/>
      <c r="FT27" s="1">
        <v>2</v>
      </c>
      <c r="FU27" s="1"/>
      <c r="FV27" s="10">
        <f t="shared" si="118"/>
        <v>0</v>
      </c>
      <c r="FW27" s="1"/>
      <c r="FX27" s="1">
        <f t="shared" si="119"/>
        <v>0</v>
      </c>
      <c r="FY27" s="2"/>
      <c r="FZ27" s="2"/>
      <c r="GA27" s="2">
        <v>2</v>
      </c>
      <c r="GB27" s="2"/>
      <c r="GC27" s="3">
        <f t="shared" si="120"/>
        <v>0</v>
      </c>
      <c r="GD27" s="2"/>
      <c r="GE27" s="2">
        <f t="shared" si="121"/>
        <v>0</v>
      </c>
      <c r="GF27" s="1"/>
      <c r="GG27" s="1"/>
      <c r="GH27" s="1">
        <v>2</v>
      </c>
      <c r="GI27" s="1"/>
      <c r="GJ27" s="10">
        <f t="shared" si="122"/>
        <v>0</v>
      </c>
      <c r="GK27" s="1"/>
      <c r="GL27" s="1">
        <f t="shared" si="123"/>
        <v>0</v>
      </c>
      <c r="GM27" s="2"/>
      <c r="GN27" s="2"/>
      <c r="GO27" s="2">
        <v>2</v>
      </c>
      <c r="GP27" s="2"/>
      <c r="GQ27" s="3">
        <f t="shared" si="124"/>
        <v>0</v>
      </c>
      <c r="GR27" s="2"/>
      <c r="GS27" s="2">
        <f t="shared" si="125"/>
        <v>0</v>
      </c>
      <c r="GT27" s="1"/>
      <c r="GU27" s="1"/>
      <c r="GV27" s="1">
        <v>2</v>
      </c>
      <c r="GW27" s="1"/>
      <c r="GX27" s="10">
        <f t="shared" si="126"/>
        <v>0</v>
      </c>
      <c r="GY27" s="1"/>
      <c r="GZ27" s="1">
        <f t="shared" si="127"/>
        <v>0</v>
      </c>
      <c r="HA27" s="2"/>
      <c r="HB27" s="2"/>
      <c r="HC27" s="2">
        <v>2</v>
      </c>
      <c r="HD27" s="2"/>
      <c r="HE27" s="3">
        <f t="shared" si="128"/>
        <v>0</v>
      </c>
      <c r="HF27" s="2"/>
      <c r="HG27" s="2">
        <f t="shared" si="129"/>
        <v>0</v>
      </c>
      <c r="HH27" s="1"/>
      <c r="HI27" s="1"/>
      <c r="HJ27" s="1">
        <v>2</v>
      </c>
      <c r="HK27" s="1"/>
      <c r="HL27" s="10">
        <f t="shared" si="130"/>
        <v>0</v>
      </c>
      <c r="HM27" s="1"/>
      <c r="HN27" s="1">
        <f t="shared" si="131"/>
        <v>0</v>
      </c>
      <c r="HO27" s="2"/>
      <c r="HP27" s="2"/>
      <c r="HQ27" s="2">
        <v>2</v>
      </c>
      <c r="HR27" s="2"/>
      <c r="HS27" s="3">
        <f t="shared" si="132"/>
        <v>0</v>
      </c>
      <c r="HT27" s="2"/>
      <c r="HU27" s="2">
        <f t="shared" si="133"/>
        <v>0</v>
      </c>
      <c r="HV27" s="1"/>
      <c r="HW27" s="1"/>
      <c r="HX27" s="1">
        <v>2</v>
      </c>
      <c r="HY27" s="1"/>
      <c r="HZ27" s="10">
        <f t="shared" si="134"/>
        <v>0</v>
      </c>
      <c r="IA27" s="1"/>
      <c r="IB27" s="1">
        <f t="shared" si="135"/>
        <v>0</v>
      </c>
      <c r="IC27" s="2"/>
      <c r="ID27" s="2"/>
      <c r="IE27" s="2">
        <v>2</v>
      </c>
      <c r="IF27" s="2"/>
      <c r="IG27" s="3">
        <f t="shared" si="136"/>
        <v>0</v>
      </c>
      <c r="IH27" s="2"/>
      <c r="II27" s="2">
        <f t="shared" si="137"/>
        <v>0</v>
      </c>
      <c r="IJ27" s="1"/>
      <c r="IK27" s="1"/>
      <c r="IL27" s="1">
        <v>2</v>
      </c>
      <c r="IM27" s="1"/>
      <c r="IN27" s="10">
        <f t="shared" si="138"/>
        <v>0</v>
      </c>
      <c r="IO27" s="1"/>
      <c r="IP27" s="1">
        <f t="shared" si="139"/>
        <v>0</v>
      </c>
    </row>
    <row r="28" spans="1:250" s="9" customFormat="1" ht="57" customHeight="1">
      <c r="A28" s="92" t="s">
        <v>140</v>
      </c>
      <c r="B28" s="93"/>
      <c r="C28" s="94"/>
      <c r="D28" s="94"/>
      <c r="E28" s="81"/>
      <c r="F28" s="79"/>
      <c r="G28" s="79"/>
      <c r="H28" s="79">
        <v>12</v>
      </c>
      <c r="I28" s="79"/>
      <c r="J28" s="12">
        <f>(SUM(J16:J27))/(SUM(H16:H27))</f>
        <v>0</v>
      </c>
      <c r="K28" s="79"/>
      <c r="L28" s="79" t="e">
        <f>AVERAGE(K16:K27)</f>
        <v>#DIV/0!</v>
      </c>
      <c r="M28" s="79"/>
      <c r="N28" s="79"/>
      <c r="O28" s="79">
        <v>12</v>
      </c>
      <c r="P28" s="79"/>
      <c r="Q28" s="80">
        <f>(SUM(Q16:Q27))/(SUM(O16:O27))</f>
        <v>0</v>
      </c>
      <c r="R28" s="79"/>
      <c r="S28" s="79" t="e">
        <f>AVERAGE(R16:R27)</f>
        <v>#DIV/0!</v>
      </c>
      <c r="T28" s="79"/>
      <c r="U28" s="79"/>
      <c r="V28" s="79">
        <f>SUM(V16:V27)/(AVERAGE(V16:V27))</f>
        <v>12</v>
      </c>
      <c r="W28" s="79"/>
      <c r="X28" s="12">
        <f>(SUM(X16:X27))/(SUM(V16:V27))</f>
        <v>0</v>
      </c>
      <c r="Y28" s="79"/>
      <c r="Z28" s="79" t="e">
        <f>AVERAGE(Y16:Y27)</f>
        <v>#DIV/0!</v>
      </c>
      <c r="AA28" s="79"/>
      <c r="AB28" s="79"/>
      <c r="AC28" s="79">
        <f>SUM(AC16:AC27)/(AVERAGE(AC16:AC27))</f>
        <v>12</v>
      </c>
      <c r="AD28" s="79"/>
      <c r="AE28" s="12">
        <f>(SUM(AE16:AE27))/(SUM(AC16:AC27))</f>
        <v>0</v>
      </c>
      <c r="AF28" s="79"/>
      <c r="AG28" s="79" t="e">
        <f>AVERAGE(AF16:AF27)</f>
        <v>#DIV/0!</v>
      </c>
      <c r="AH28" s="79"/>
      <c r="AI28" s="79"/>
      <c r="AJ28" s="79">
        <f>SUM(AJ16:AJ27)/(AVERAGE(AJ16:AJ27))</f>
        <v>12</v>
      </c>
      <c r="AK28" s="79"/>
      <c r="AL28" s="12">
        <f>(SUM(AL16:AL27))/(SUM(AJ16:AJ27))</f>
        <v>0</v>
      </c>
      <c r="AM28" s="79"/>
      <c r="AN28" s="79" t="e">
        <f>AVERAGE(AM16:AM27)</f>
        <v>#DIV/0!</v>
      </c>
      <c r="AO28" s="79"/>
      <c r="AP28" s="79"/>
      <c r="AQ28" s="79">
        <f>SUM(AQ16:AQ27)/(AVERAGE(AQ16:AQ27))</f>
        <v>12</v>
      </c>
      <c r="AR28" s="79"/>
      <c r="AS28" s="12">
        <f>(SUM(AS16:AS27))/(SUM(AQ16:AQ27))</f>
        <v>0</v>
      </c>
      <c r="AT28" s="79"/>
      <c r="AU28" s="79" t="e">
        <f>AVERAGE(AT16:AT27)</f>
        <v>#DIV/0!</v>
      </c>
      <c r="AV28" s="79"/>
      <c r="AW28" s="79"/>
      <c r="AX28" s="79">
        <f>SUM(AX16:AX27)/(AVERAGE(AX16:AX27))</f>
        <v>12</v>
      </c>
      <c r="AY28" s="79"/>
      <c r="AZ28" s="12">
        <f>(SUM(AZ16:AZ27))/(SUM(AX16:AX27))</f>
        <v>0</v>
      </c>
      <c r="BA28" s="79"/>
      <c r="BB28" s="79" t="e">
        <f>AVERAGE(BA16:BA27)</f>
        <v>#DIV/0!</v>
      </c>
      <c r="BC28" s="79"/>
      <c r="BD28" s="79"/>
      <c r="BE28" s="79">
        <f>SUM(BE16:BE27)/(AVERAGE(BE16:BE27))</f>
        <v>12</v>
      </c>
      <c r="BF28" s="79"/>
      <c r="BG28" s="12">
        <f>(SUM(BG16:BG27))/(SUM(BE16:BE27))</f>
        <v>0</v>
      </c>
      <c r="BH28" s="79"/>
      <c r="BI28" s="79" t="e">
        <f>AVERAGE(BH16:BH27)</f>
        <v>#DIV/0!</v>
      </c>
      <c r="BJ28" s="79"/>
      <c r="BK28" s="79"/>
      <c r="BL28" s="79">
        <f>SUM(BL16:BL27)/(AVERAGE(BL16:BL27))</f>
        <v>12</v>
      </c>
      <c r="BM28" s="79"/>
      <c r="BN28" s="12">
        <f>(SUM(BN16:BN27))/(SUM(BL16:BL27))</f>
        <v>0</v>
      </c>
      <c r="BO28" s="79"/>
      <c r="BP28" s="79" t="e">
        <f>AVERAGE(BO16:BO27)</f>
        <v>#DIV/0!</v>
      </c>
      <c r="BQ28" s="79"/>
      <c r="BR28" s="79"/>
      <c r="BS28" s="79">
        <f>SUM(BS16:BS27)/(AVERAGE(BS16:BS27))</f>
        <v>12</v>
      </c>
      <c r="BT28" s="79"/>
      <c r="BU28" s="12">
        <f>(SUM(BU16:BU27))/(SUM(BS16:BS27))</f>
        <v>0</v>
      </c>
      <c r="BV28" s="79"/>
      <c r="BW28" s="79" t="e">
        <f>AVERAGE(BV16:BV27)</f>
        <v>#DIV/0!</v>
      </c>
      <c r="BX28" s="79"/>
      <c r="BY28" s="79"/>
      <c r="BZ28" s="79">
        <f>SUM(BZ16:BZ27)/(AVERAGE(BZ16:BZ27))</f>
        <v>12</v>
      </c>
      <c r="CA28" s="79"/>
      <c r="CB28" s="12">
        <f>(SUM(CB16:CB27))/(SUM(BZ16:BZ27))</f>
        <v>0</v>
      </c>
      <c r="CC28" s="79"/>
      <c r="CD28" s="79" t="e">
        <f>AVERAGE(CC16:CC27)</f>
        <v>#DIV/0!</v>
      </c>
      <c r="CE28" s="79"/>
      <c r="CF28" s="79"/>
      <c r="CG28" s="79">
        <f>SUM(CG16:CG27)/(AVERAGE(CG16:CG27))</f>
        <v>12</v>
      </c>
      <c r="CH28" s="79"/>
      <c r="CI28" s="12">
        <f>(SUM(CI16:CI27))/(SUM(CG16:CG27))</f>
        <v>0</v>
      </c>
      <c r="CJ28" s="79"/>
      <c r="CK28" s="79" t="e">
        <f>AVERAGE(CJ16:CJ27)</f>
        <v>#DIV/0!</v>
      </c>
      <c r="CL28" s="79"/>
      <c r="CM28" s="79"/>
      <c r="CN28" s="79">
        <f>SUM(CN16:CN27)/(AVERAGE(CN16:CN27))</f>
        <v>12</v>
      </c>
      <c r="CO28" s="79"/>
      <c r="CP28" s="12">
        <f>(SUM(CP16:CP27))/(SUM(CN16:CN27))</f>
        <v>0</v>
      </c>
      <c r="CQ28" s="79"/>
      <c r="CR28" s="79" t="e">
        <f>AVERAGE(CQ16:CQ27)</f>
        <v>#DIV/0!</v>
      </c>
      <c r="CS28" s="79"/>
      <c r="CT28" s="79"/>
      <c r="CU28" s="79">
        <f>SUM(CU16:CU27)/(AVERAGE(CU16:CU27))</f>
        <v>12</v>
      </c>
      <c r="CV28" s="79"/>
      <c r="CW28" s="12">
        <f>(SUM(CW16:CW27))/(SUM(CU16:CU27))</f>
        <v>0</v>
      </c>
      <c r="CX28" s="79"/>
      <c r="CY28" s="79" t="e">
        <f>AVERAGE(CX16:CX27)</f>
        <v>#DIV/0!</v>
      </c>
      <c r="CZ28" s="79"/>
      <c r="DA28" s="79"/>
      <c r="DB28" s="79">
        <f>SUM(DB16:DB27)/(AVERAGE(DB16:DB27))</f>
        <v>12</v>
      </c>
      <c r="DC28" s="79"/>
      <c r="DD28" s="12">
        <f>(SUM(DD16:DD27))/(SUM(DB16:DB27))</f>
        <v>0</v>
      </c>
      <c r="DE28" s="79"/>
      <c r="DF28" s="79" t="e">
        <f>AVERAGE(DE16:DE27)</f>
        <v>#DIV/0!</v>
      </c>
      <c r="DG28" s="79"/>
      <c r="DH28" s="79"/>
      <c r="DI28" s="79">
        <f>SUM(DI16:DI27)/(AVERAGE(DI16:DI27))</f>
        <v>12</v>
      </c>
      <c r="DJ28" s="79"/>
      <c r="DK28" s="12">
        <f>(SUM(DK16:DK27))/(SUM(DI16:DI27))</f>
        <v>0</v>
      </c>
      <c r="DL28" s="79"/>
      <c r="DM28" s="79" t="e">
        <f>AVERAGE(DL16:DL27)</f>
        <v>#DIV/0!</v>
      </c>
      <c r="DN28" s="79"/>
      <c r="DO28" s="79"/>
      <c r="DP28" s="79">
        <f>SUM(DP16:DP27)/(AVERAGE(DP16:DP27))</f>
        <v>12</v>
      </c>
      <c r="DQ28" s="79"/>
      <c r="DR28" s="12">
        <f>(SUM(DR16:DR27))/(SUM(DP16:DP27))</f>
        <v>0</v>
      </c>
      <c r="DS28" s="79"/>
      <c r="DT28" s="79" t="e">
        <f>AVERAGE(DS16:DS27)</f>
        <v>#DIV/0!</v>
      </c>
      <c r="DU28" s="79"/>
      <c r="DV28" s="79"/>
      <c r="DW28" s="79">
        <f>SUM(DW16:DW27)/(AVERAGE(DW16:DW27))</f>
        <v>12</v>
      </c>
      <c r="DX28" s="79"/>
      <c r="DY28" s="12">
        <f>(SUM(DY16:DY27))/(SUM(DW16:DW27))</f>
        <v>0</v>
      </c>
      <c r="DZ28" s="79"/>
      <c r="EA28" s="79" t="e">
        <f>AVERAGE(DZ16:DZ27)</f>
        <v>#DIV/0!</v>
      </c>
      <c r="EB28" s="79"/>
      <c r="EC28" s="79"/>
      <c r="ED28" s="79">
        <f>SUM(ED16:ED27)/(AVERAGE(ED16:ED27))</f>
        <v>12</v>
      </c>
      <c r="EE28" s="79"/>
      <c r="EF28" s="12">
        <f>(SUM(EF16:EF27))/(SUM(ED16:ED27))</f>
        <v>0</v>
      </c>
      <c r="EG28" s="79"/>
      <c r="EH28" s="79" t="e">
        <f>AVERAGE(EG16:EG27)</f>
        <v>#DIV/0!</v>
      </c>
      <c r="EI28" s="79"/>
      <c r="EJ28" s="79"/>
      <c r="EK28" s="79">
        <f>SUM(EK16:EK27)/(AVERAGE(EK16:EK27))</f>
        <v>12</v>
      </c>
      <c r="EL28" s="79"/>
      <c r="EM28" s="12">
        <f>(SUM(EM16:EM27))/(SUM(EK16:EK27))</f>
        <v>0</v>
      </c>
      <c r="EN28" s="79"/>
      <c r="EO28" s="79" t="e">
        <f>AVERAGE(EN16:EN27)</f>
        <v>#DIV/0!</v>
      </c>
      <c r="EP28" s="79"/>
      <c r="EQ28" s="79"/>
      <c r="ER28" s="79">
        <f>SUM(ER16:ER27)/(AVERAGE(ER16:ER27))</f>
        <v>12</v>
      </c>
      <c r="ES28" s="79"/>
      <c r="ET28" s="12">
        <f>(SUM(ET16:ET27))/(SUM(ER16:ER27))</f>
        <v>0</v>
      </c>
      <c r="EU28" s="79"/>
      <c r="EV28" s="79" t="e">
        <f>AVERAGE(EU16:EU27)</f>
        <v>#DIV/0!</v>
      </c>
      <c r="EW28" s="79"/>
      <c r="EX28" s="79"/>
      <c r="EY28" s="79">
        <f>SUM(EY16:EY27)/(AVERAGE(EY16:EY27))</f>
        <v>12</v>
      </c>
      <c r="EZ28" s="79"/>
      <c r="FA28" s="12">
        <f>(SUM(FA16:FA27))/(SUM(EY16:EY27))</f>
        <v>0</v>
      </c>
      <c r="FB28" s="79"/>
      <c r="FC28" s="79" t="e">
        <f>AVERAGE(FB16:FB27)</f>
        <v>#DIV/0!</v>
      </c>
      <c r="FD28" s="79"/>
      <c r="FE28" s="79"/>
      <c r="FF28" s="79">
        <f>SUM(FF16:FF27)/(AVERAGE(FF16:FF27))</f>
        <v>12</v>
      </c>
      <c r="FG28" s="79"/>
      <c r="FH28" s="12">
        <f>(SUM(FH16:FH27))/(SUM(FF16:FF27))</f>
        <v>0</v>
      </c>
      <c r="FI28" s="79"/>
      <c r="FJ28" s="79" t="e">
        <f>AVERAGE(FI16:FI27)</f>
        <v>#DIV/0!</v>
      </c>
      <c r="FK28" s="79"/>
      <c r="FL28" s="79"/>
      <c r="FM28" s="79">
        <f>SUM(FM16:FM27)/(AVERAGE(FM16:FM27))</f>
        <v>12</v>
      </c>
      <c r="FN28" s="79"/>
      <c r="FO28" s="12">
        <f>(SUM(FO16:FO27))/(SUM(FM16:FM27))</f>
        <v>0</v>
      </c>
      <c r="FP28" s="79"/>
      <c r="FQ28" s="79" t="e">
        <f>AVERAGE(FP16:FP27)</f>
        <v>#DIV/0!</v>
      </c>
      <c r="FR28" s="79"/>
      <c r="FS28" s="79"/>
      <c r="FT28" s="79">
        <f>SUM(FT16:FT27)/(AVERAGE(FT16:FT27))</f>
        <v>12</v>
      </c>
      <c r="FU28" s="79"/>
      <c r="FV28" s="12">
        <f>(SUM(FV16:FV27))/(SUM(FT16:FT27))</f>
        <v>0</v>
      </c>
      <c r="FW28" s="79"/>
      <c r="FX28" s="79" t="e">
        <f>AVERAGE(FW16:FW27)</f>
        <v>#DIV/0!</v>
      </c>
      <c r="FY28" s="79"/>
      <c r="FZ28" s="79"/>
      <c r="GA28" s="79">
        <f>SUM(GA16:GA27)/(AVERAGE(GA16:GA27))</f>
        <v>12</v>
      </c>
      <c r="GB28" s="79"/>
      <c r="GC28" s="12">
        <f>(SUM(GC16:GC27))/(SUM(GA16:GA27))</f>
        <v>0</v>
      </c>
      <c r="GD28" s="79"/>
      <c r="GE28" s="79" t="e">
        <f>AVERAGE(GD16:GD27)</f>
        <v>#DIV/0!</v>
      </c>
      <c r="GF28" s="79"/>
      <c r="GG28" s="79"/>
      <c r="GH28" s="79">
        <f>SUM(GH16:GH27)/(AVERAGE(GH16:GH27))</f>
        <v>12</v>
      </c>
      <c r="GI28" s="79"/>
      <c r="GJ28" s="12">
        <f>(SUM(GJ16:GJ27))/(SUM(GH16:GH27))</f>
        <v>0</v>
      </c>
      <c r="GK28" s="79"/>
      <c r="GL28" s="79" t="e">
        <f>AVERAGE(GK16:GK27)</f>
        <v>#DIV/0!</v>
      </c>
      <c r="GM28" s="79"/>
      <c r="GN28" s="79"/>
      <c r="GO28" s="79">
        <f>SUM(GO16:GO27)/(AVERAGE(GO16:GO27))</f>
        <v>12</v>
      </c>
      <c r="GP28" s="79"/>
      <c r="GQ28" s="12">
        <f>(SUM(GQ16:GQ27))/(SUM(GO16:GO27))</f>
        <v>0</v>
      </c>
      <c r="GR28" s="79"/>
      <c r="GS28" s="79" t="e">
        <f>AVERAGE(GR16:GR27)</f>
        <v>#DIV/0!</v>
      </c>
      <c r="GT28" s="79"/>
      <c r="GU28" s="79"/>
      <c r="GV28" s="79">
        <f>SUM(GV16:GV27)/(AVERAGE(GV16:GV27))</f>
        <v>12</v>
      </c>
      <c r="GW28" s="79"/>
      <c r="GX28" s="12">
        <f>(SUM(GX16:GX27))/(SUM(GV16:GV27))</f>
        <v>0</v>
      </c>
      <c r="GY28" s="79"/>
      <c r="GZ28" s="79" t="e">
        <f>AVERAGE(GY16:GY27)</f>
        <v>#DIV/0!</v>
      </c>
      <c r="HA28" s="79"/>
      <c r="HB28" s="79"/>
      <c r="HC28" s="79">
        <f>SUM(HC16:HC27)/(AVERAGE(HC16:HC27))</f>
        <v>12</v>
      </c>
      <c r="HD28" s="79"/>
      <c r="HE28" s="12">
        <f>(SUM(HE16:HE27))/(SUM(HC16:HC27))</f>
        <v>0</v>
      </c>
      <c r="HF28" s="79"/>
      <c r="HG28" s="79" t="e">
        <f>AVERAGE(HF16:HF27)</f>
        <v>#DIV/0!</v>
      </c>
      <c r="HH28" s="79"/>
      <c r="HI28" s="79"/>
      <c r="HJ28" s="79">
        <f>SUM(HJ16:HJ27)/(AVERAGE(HJ16:HJ27))</f>
        <v>12</v>
      </c>
      <c r="HK28" s="79"/>
      <c r="HL28" s="12">
        <f>(SUM(HL16:HL27))/(SUM(HJ16:HJ27))</f>
        <v>0</v>
      </c>
      <c r="HM28" s="79"/>
      <c r="HN28" s="79" t="e">
        <f>AVERAGE(HM16:HM27)</f>
        <v>#DIV/0!</v>
      </c>
      <c r="HO28" s="79"/>
      <c r="HP28" s="79"/>
      <c r="HQ28" s="79">
        <f>SUM(HQ16:HQ27)/(AVERAGE(HQ16:HQ27))</f>
        <v>12</v>
      </c>
      <c r="HR28" s="79"/>
      <c r="HS28" s="12">
        <f>(SUM(HS16:HS27))/(SUM(HQ16:HQ27))</f>
        <v>0</v>
      </c>
      <c r="HT28" s="79"/>
      <c r="HU28" s="79" t="e">
        <f>AVERAGE(HT16:HT27)</f>
        <v>#DIV/0!</v>
      </c>
      <c r="HV28" s="79"/>
      <c r="HW28" s="79"/>
      <c r="HX28" s="79">
        <f>SUM(HX16:HX27)/(AVERAGE(HX16:HX27))</f>
        <v>12</v>
      </c>
      <c r="HY28" s="79"/>
      <c r="HZ28" s="12">
        <f>(SUM(HZ16:HZ27))/(SUM(HX16:HX27))</f>
        <v>0</v>
      </c>
      <c r="IA28" s="79"/>
      <c r="IB28" s="79" t="e">
        <f>AVERAGE(IA16:IA27)</f>
        <v>#DIV/0!</v>
      </c>
      <c r="IC28" s="79"/>
      <c r="ID28" s="79"/>
      <c r="IE28" s="79">
        <f>SUM(IE16:IE27)/(AVERAGE(IE16:IE27))</f>
        <v>12</v>
      </c>
      <c r="IF28" s="79"/>
      <c r="IG28" s="12">
        <f>(SUM(IG16:IG27))/(SUM(IE16:IE27))</f>
        <v>0</v>
      </c>
      <c r="IH28" s="79"/>
      <c r="II28" s="79" t="e">
        <f>AVERAGE(IH16:IH27)</f>
        <v>#DIV/0!</v>
      </c>
      <c r="IJ28" s="79"/>
      <c r="IK28" s="79"/>
      <c r="IL28" s="79">
        <f>SUM(IL16:IL27)/(AVERAGE(IL16:IL27))</f>
        <v>12</v>
      </c>
      <c r="IM28" s="79"/>
      <c r="IN28" s="12">
        <f>(SUM(IN16:IN27))/(SUM(IL16:IL27))</f>
        <v>0</v>
      </c>
      <c r="IO28" s="79"/>
      <c r="IP28" s="79" t="e">
        <f>AVERAGE(IO16:IO27)</f>
        <v>#DIV/0!</v>
      </c>
    </row>
    <row r="29" spans="1:250" s="61" customFormat="1" ht="57" customHeight="1">
      <c r="A29" s="95" t="s">
        <v>141</v>
      </c>
      <c r="B29" s="96"/>
      <c r="C29" s="57"/>
      <c r="D29" s="57"/>
      <c r="E29" s="82"/>
      <c r="F29" s="60"/>
      <c r="G29" s="60"/>
      <c r="H29" s="58">
        <f>SQRT(((J14-3)^2)+((J28-1)^2))</f>
        <v>3.1622776601683795</v>
      </c>
      <c r="I29" s="57"/>
      <c r="J29" s="59"/>
      <c r="K29" s="57"/>
      <c r="L29" s="57"/>
      <c r="M29" s="57"/>
      <c r="N29" s="57"/>
      <c r="O29" s="58">
        <f>SQRT(((Q14-3)^2)+((Q28-1)^2))</f>
        <v>3.1622776601683795</v>
      </c>
      <c r="P29" s="57"/>
      <c r="Q29" s="59"/>
      <c r="R29" s="57"/>
      <c r="S29" s="57"/>
      <c r="T29" s="57"/>
      <c r="U29" s="57"/>
      <c r="V29" s="58">
        <f>SQRT(((X14-3)^2)+((X28-1)^2))</f>
        <v>3.1622776601683795</v>
      </c>
      <c r="W29" s="60"/>
      <c r="X29" s="59"/>
      <c r="Y29" s="57"/>
      <c r="Z29" s="57"/>
      <c r="AA29" s="57"/>
      <c r="AB29" s="57"/>
      <c r="AC29" s="58">
        <f>SQRT(((AE14-3)^2)+((AE28-1)^2))</f>
        <v>3.1622776601683795</v>
      </c>
      <c r="AD29" s="60"/>
      <c r="AE29" s="59"/>
      <c r="AF29" s="57"/>
      <c r="AG29" s="57"/>
      <c r="AH29" s="57"/>
      <c r="AI29" s="57"/>
      <c r="AJ29" s="58">
        <f>SQRT(((AL14-3)^2)+((AL28-1)^2))</f>
        <v>3.1622776601683795</v>
      </c>
      <c r="AK29" s="60"/>
      <c r="AL29" s="59"/>
      <c r="AM29" s="57"/>
      <c r="AN29" s="57"/>
      <c r="AO29" s="57"/>
      <c r="AP29" s="57"/>
      <c r="AQ29" s="58">
        <f>SQRT(((AS14-3)^2)+((AS28-1)^2))</f>
        <v>3.1622776601683795</v>
      </c>
      <c r="AR29" s="60"/>
      <c r="AS29" s="59"/>
      <c r="AT29" s="57"/>
      <c r="AU29" s="57"/>
      <c r="AV29" s="57"/>
      <c r="AW29" s="57"/>
      <c r="AX29" s="58">
        <f>SQRT(((AZ14-3)^2)+((AZ28-1)^2))</f>
        <v>3.1622776601683795</v>
      </c>
      <c r="AY29" s="60"/>
      <c r="AZ29" s="59"/>
      <c r="BA29" s="57"/>
      <c r="BB29" s="57"/>
      <c r="BC29" s="57"/>
      <c r="BD29" s="57"/>
      <c r="BE29" s="58">
        <f>SQRT(((BG14-3)^2)+((BG28-1)^2))</f>
        <v>3.1622776601683795</v>
      </c>
      <c r="BF29" s="60"/>
      <c r="BG29" s="59"/>
      <c r="BH29" s="57"/>
      <c r="BI29" s="57"/>
      <c r="BJ29" s="57"/>
      <c r="BK29" s="57"/>
      <c r="BL29" s="58">
        <f>SQRT(((BN14-3)^2)+((BN28-1)^2))</f>
        <v>3.1622776601683795</v>
      </c>
      <c r="BM29" s="60"/>
      <c r="BN29" s="59"/>
      <c r="BO29" s="57"/>
      <c r="BP29" s="57"/>
      <c r="BQ29" s="57"/>
      <c r="BR29" s="57"/>
      <c r="BS29" s="58">
        <f>SQRT(((BU14-3)^2)+((BU28-1)^2))</f>
        <v>3.1622776601683795</v>
      </c>
      <c r="BT29" s="60"/>
      <c r="BU29" s="59"/>
      <c r="BV29" s="57"/>
      <c r="BW29" s="57"/>
      <c r="BX29" s="57"/>
      <c r="BY29" s="57"/>
      <c r="BZ29" s="58">
        <f>SQRT(((CB14-3)^2)+((CB28-1)^2))</f>
        <v>3.1622776601683795</v>
      </c>
      <c r="CA29" s="60"/>
      <c r="CB29" s="59"/>
      <c r="CC29" s="57"/>
      <c r="CD29" s="57"/>
      <c r="CE29" s="57"/>
      <c r="CF29" s="57"/>
      <c r="CG29" s="58">
        <f>SQRT(((CI14-3)^2)+((CI28-1)^2))</f>
        <v>3.1622776601683795</v>
      </c>
      <c r="CH29" s="60"/>
      <c r="CI29" s="59"/>
      <c r="CJ29" s="57"/>
      <c r="CK29" s="57"/>
      <c r="CL29" s="57"/>
      <c r="CM29" s="57"/>
      <c r="CN29" s="58">
        <f>SQRT(((CP14-3)^2)+((CP28-1)^2))</f>
        <v>3.1622776601683795</v>
      </c>
      <c r="CO29" s="60"/>
      <c r="CP29" s="59"/>
      <c r="CQ29" s="57"/>
      <c r="CR29" s="57"/>
      <c r="CS29" s="57"/>
      <c r="CT29" s="57"/>
      <c r="CU29" s="58">
        <f>SQRT(((CW14-3)^2)+((CW28-1)^2))</f>
        <v>3.1622776601683795</v>
      </c>
      <c r="CV29" s="60"/>
      <c r="CW29" s="59"/>
      <c r="CX29" s="57"/>
      <c r="CY29" s="57"/>
      <c r="CZ29" s="57"/>
      <c r="DA29" s="57"/>
      <c r="DB29" s="58">
        <f>SQRT(((DD14-3)^2)+((DD28-1)^2))</f>
        <v>3.1622776601683795</v>
      </c>
      <c r="DC29" s="60"/>
      <c r="DD29" s="59"/>
      <c r="DE29" s="57"/>
      <c r="DF29" s="57"/>
      <c r="DG29" s="57"/>
      <c r="DH29" s="57"/>
      <c r="DI29" s="58">
        <f>SQRT(((DK14-3)^2)+((DK28-1)^2))</f>
        <v>3.1622776601683795</v>
      </c>
      <c r="DJ29" s="60"/>
      <c r="DK29" s="59"/>
      <c r="DL29" s="57"/>
      <c r="DM29" s="57"/>
      <c r="DN29" s="57"/>
      <c r="DO29" s="57"/>
      <c r="DP29" s="58">
        <f>SQRT(((DR14-3)^2)+((DR28-1)^2))</f>
        <v>3.1622776601683795</v>
      </c>
      <c r="DQ29" s="60"/>
      <c r="DR29" s="59"/>
      <c r="DS29" s="57"/>
      <c r="DT29" s="57"/>
      <c r="DU29" s="57"/>
      <c r="DV29" s="57"/>
      <c r="DW29" s="58">
        <f>SQRT(((DY14-3)^2)+((DY28-1)^2))</f>
        <v>3.1622776601683795</v>
      </c>
      <c r="DX29" s="60"/>
      <c r="DY29" s="59"/>
      <c r="DZ29" s="57"/>
      <c r="EA29" s="57"/>
      <c r="EB29" s="57"/>
      <c r="EC29" s="57"/>
      <c r="ED29" s="58">
        <f>SQRT(((EF14-3)^2)+((EF28-1)^2))</f>
        <v>3.1622776601683795</v>
      </c>
      <c r="EE29" s="57"/>
      <c r="EF29" s="59"/>
      <c r="EG29" s="57"/>
      <c r="EH29" s="57"/>
      <c r="EI29" s="57"/>
      <c r="EJ29" s="57"/>
      <c r="EK29" s="58">
        <f>SQRT(((EM14-3)^2)+((EM28-1)^2))</f>
        <v>3.1622776601683795</v>
      </c>
      <c r="EL29" s="60"/>
      <c r="EM29" s="59"/>
      <c r="EN29" s="57"/>
      <c r="EO29" s="57"/>
      <c r="EP29" s="57"/>
      <c r="EQ29" s="57"/>
      <c r="ER29" s="58">
        <f>SQRT(((ET14-3)^2)+((ET28-1)^2))</f>
        <v>3.1622776601683795</v>
      </c>
      <c r="ES29" s="60"/>
      <c r="ET29" s="59"/>
      <c r="EU29" s="57"/>
      <c r="EV29" s="57"/>
      <c r="EW29" s="57"/>
      <c r="EX29" s="57"/>
      <c r="EY29" s="58">
        <f>SQRT(((FA14-3)^2)+((FA28-1)^2))</f>
        <v>3.1622776601683795</v>
      </c>
      <c r="EZ29" s="57"/>
      <c r="FA29" s="59"/>
      <c r="FB29" s="57"/>
      <c r="FC29" s="57"/>
      <c r="FD29" s="57"/>
      <c r="FE29" s="57"/>
      <c r="FF29" s="58">
        <f>SQRT(((FH14-3)^2)+((FH28-1)^2))</f>
        <v>3.1622776601683795</v>
      </c>
      <c r="FG29" s="57"/>
      <c r="FH29" s="59"/>
      <c r="FI29" s="57"/>
      <c r="FJ29" s="57"/>
      <c r="FK29" s="57"/>
      <c r="FL29" s="57"/>
      <c r="FM29" s="58">
        <f>SQRT(((FO14-3)^2)+((FO28-1)^2))</f>
        <v>3.1622776601683795</v>
      </c>
      <c r="FN29" s="57"/>
      <c r="FO29" s="59"/>
      <c r="FP29" s="57"/>
      <c r="FQ29" s="57"/>
      <c r="FR29" s="57"/>
      <c r="FS29" s="57"/>
      <c r="FT29" s="58">
        <f>SQRT(((FV14-3)^2)+((FV28-1)^2))</f>
        <v>3.1622776601683795</v>
      </c>
      <c r="FU29" s="57"/>
      <c r="FV29" s="59"/>
      <c r="FW29" s="57"/>
      <c r="FX29" s="57"/>
      <c r="FY29" s="57"/>
      <c r="FZ29" s="57"/>
      <c r="GA29" s="58">
        <f>SQRT(((GC14-3)^2)+((GC28-1)^2))</f>
        <v>3.1622776601683795</v>
      </c>
      <c r="GB29" s="57"/>
      <c r="GC29" s="59"/>
      <c r="GD29" s="57"/>
      <c r="GE29" s="57"/>
      <c r="GF29" s="57"/>
      <c r="GG29" s="57"/>
      <c r="GH29" s="58">
        <f>SQRT(((GJ14-3)^2)+((GJ28-1)^2))</f>
        <v>3.1622776601683795</v>
      </c>
      <c r="GI29" s="57"/>
      <c r="GJ29" s="59"/>
      <c r="GK29" s="57"/>
      <c r="GL29" s="57"/>
      <c r="GM29" s="57"/>
      <c r="GN29" s="57"/>
      <c r="GO29" s="58">
        <f>SQRT(((GQ14-3)^2)+((GQ28-1)^2))</f>
        <v>3.1622776601683795</v>
      </c>
      <c r="GP29" s="57"/>
      <c r="GQ29" s="59"/>
      <c r="GR29" s="57"/>
      <c r="GS29" s="57"/>
      <c r="GT29" s="57"/>
      <c r="GU29" s="57"/>
      <c r="GV29" s="58">
        <f>SQRT(((GX14-3)^2)+((GX28-1)^2))</f>
        <v>3.1622776601683795</v>
      </c>
      <c r="GW29" s="57"/>
      <c r="GX29" s="59"/>
      <c r="GY29" s="57"/>
      <c r="GZ29" s="57"/>
      <c r="HA29" s="57"/>
      <c r="HB29" s="57"/>
      <c r="HC29" s="58">
        <f>SQRT(((HE14-3)^2)+((HE28-1)^2))</f>
        <v>3.1622776601683795</v>
      </c>
      <c r="HD29" s="57"/>
      <c r="HE29" s="59"/>
      <c r="HF29" s="57"/>
      <c r="HG29" s="57"/>
      <c r="HH29" s="57"/>
      <c r="HI29" s="57"/>
      <c r="HJ29" s="58">
        <f>SQRT(((HL14-3)^2)+((HL28-1)^2))</f>
        <v>3.1622776601683795</v>
      </c>
      <c r="HK29" s="57"/>
      <c r="HL29" s="59"/>
      <c r="HM29" s="57"/>
      <c r="HN29" s="57"/>
      <c r="HO29" s="57"/>
      <c r="HP29" s="57"/>
      <c r="HQ29" s="58">
        <f>SQRT(((HS14-3)^2)+((HS28-1)^2))</f>
        <v>3.1622776601683795</v>
      </c>
      <c r="HR29" s="57"/>
      <c r="HS29" s="59"/>
      <c r="HT29" s="57"/>
      <c r="HU29" s="57"/>
      <c r="HV29" s="57"/>
      <c r="HW29" s="57"/>
      <c r="HX29" s="58">
        <f>SQRT(((HZ14-3)^2)+((HZ28-1)^2))</f>
        <v>3.1622776601683795</v>
      </c>
      <c r="HY29" s="57"/>
      <c r="HZ29" s="59"/>
      <c r="IA29" s="57"/>
      <c r="IB29" s="57"/>
      <c r="IC29" s="57"/>
      <c r="ID29" s="57"/>
      <c r="IE29" s="58">
        <f>SQRT(((IG14-3)^2)+((IG28-1)^2))</f>
        <v>3.1622776601683795</v>
      </c>
      <c r="IF29" s="57"/>
      <c r="IG29" s="59"/>
      <c r="IH29" s="57"/>
      <c r="II29" s="57"/>
      <c r="IJ29" s="57"/>
      <c r="IK29" s="57"/>
      <c r="IL29" s="58">
        <f>SQRT(((IN14-3)^2)+((IN28-1)^2))</f>
        <v>3.1622776601683795</v>
      </c>
      <c r="IM29" s="57"/>
      <c r="IN29" s="59"/>
      <c r="IO29" s="57"/>
      <c r="IP29" s="57"/>
    </row>
    <row r="30" spans="1:250" s="30" customFormat="1" ht="57" customHeight="1">
      <c r="A30" s="26"/>
      <c r="B30" s="27"/>
      <c r="C30" s="28"/>
      <c r="D30" s="28"/>
      <c r="F30" s="28"/>
      <c r="G30" s="28"/>
      <c r="H30" s="25"/>
      <c r="I30" s="28"/>
      <c r="J30" s="29"/>
      <c r="K30" s="28"/>
      <c r="L30" s="25" t="e">
        <f>AVERAGE(K4:K13,K16:K27)</f>
        <v>#DIV/0!</v>
      </c>
      <c r="M30" s="28"/>
      <c r="N30" s="28"/>
      <c r="O30" s="25"/>
      <c r="P30" s="28"/>
      <c r="Q30" s="29"/>
      <c r="R30" s="28"/>
      <c r="S30" s="25" t="e">
        <f>AVERAGE(R4:R13,R16:R27)</f>
        <v>#DIV/0!</v>
      </c>
      <c r="T30" s="28"/>
      <c r="U30" s="28"/>
      <c r="V30" s="25"/>
      <c r="W30" s="28"/>
      <c r="X30" s="29"/>
      <c r="Y30" s="28"/>
      <c r="Z30" s="25" t="e">
        <f>AVERAGE(Y4:Y13,Y16:Y27)</f>
        <v>#DIV/0!</v>
      </c>
      <c r="AA30" s="28"/>
      <c r="AB30" s="28"/>
      <c r="AC30" s="25"/>
      <c r="AD30" s="28"/>
      <c r="AE30" s="29"/>
      <c r="AF30" s="28"/>
      <c r="AG30" s="25" t="e">
        <f>AVERAGE(AF4:AF13,AF16:AF27)</f>
        <v>#DIV/0!</v>
      </c>
      <c r="AH30" s="28"/>
      <c r="AI30" s="28"/>
      <c r="AJ30" s="25"/>
      <c r="AK30" s="28"/>
      <c r="AL30" s="29"/>
      <c r="AM30" s="28"/>
      <c r="AN30" s="25" t="e">
        <f>AVERAGE(AM4:AM13,AM16:AM27)</f>
        <v>#DIV/0!</v>
      </c>
      <c r="AO30" s="28"/>
      <c r="AP30" s="28"/>
      <c r="AQ30" s="25"/>
      <c r="AR30" s="28"/>
      <c r="AS30" s="29"/>
      <c r="AT30" s="28"/>
      <c r="AU30" s="25" t="e">
        <f>AVERAGE(AT4:AT13,AT16:AT27)</f>
        <v>#DIV/0!</v>
      </c>
      <c r="AV30" s="28"/>
      <c r="AW30" s="28"/>
      <c r="AX30" s="25"/>
      <c r="AY30" s="28"/>
      <c r="AZ30" s="29"/>
      <c r="BA30" s="28"/>
      <c r="BB30" s="25" t="e">
        <f>AVERAGE(BA4:BA13,BA16:BA27)</f>
        <v>#DIV/0!</v>
      </c>
      <c r="BC30" s="28"/>
      <c r="BD30" s="28"/>
      <c r="BE30" s="25"/>
      <c r="BF30" s="28"/>
      <c r="BG30" s="29"/>
      <c r="BH30" s="28"/>
      <c r="BI30" s="25" t="e">
        <f>AVERAGE(BH4:BH13,BH16:BH27)</f>
        <v>#DIV/0!</v>
      </c>
      <c r="BJ30" s="28"/>
      <c r="BK30" s="28"/>
      <c r="BL30" s="25"/>
      <c r="BM30" s="28"/>
      <c r="BN30" s="29"/>
      <c r="BO30" s="28"/>
      <c r="BP30" s="25" t="e">
        <f>AVERAGE(BO4:BO13,BO16:BO27)</f>
        <v>#DIV/0!</v>
      </c>
      <c r="BQ30" s="28"/>
      <c r="BR30" s="28"/>
      <c r="BS30" s="25"/>
      <c r="BT30" s="28"/>
      <c r="BU30" s="29"/>
      <c r="BV30" s="28"/>
      <c r="BW30" s="25" t="e">
        <f>AVERAGE(BV4:BV13,BV16:BV27)</f>
        <v>#DIV/0!</v>
      </c>
      <c r="BX30" s="28"/>
      <c r="BY30" s="28"/>
      <c r="BZ30" s="25"/>
      <c r="CA30" s="28"/>
      <c r="CB30" s="29"/>
      <c r="CC30" s="28"/>
      <c r="CD30" s="25" t="e">
        <f>AVERAGE(CC4:CC13,CC16:CC27)</f>
        <v>#DIV/0!</v>
      </c>
      <c r="CE30" s="28"/>
      <c r="CF30" s="28"/>
      <c r="CG30" s="25"/>
      <c r="CH30" s="28"/>
      <c r="CI30" s="29"/>
      <c r="CJ30" s="28"/>
      <c r="CK30" s="25" t="e">
        <f>AVERAGE(CJ4:CJ13,CJ16:CJ27)</f>
        <v>#DIV/0!</v>
      </c>
      <c r="CL30" s="28"/>
      <c r="CM30" s="28"/>
      <c r="CN30" s="25"/>
      <c r="CO30" s="28"/>
      <c r="CP30" s="29"/>
      <c r="CQ30" s="28"/>
      <c r="CR30" s="25" t="e">
        <f>AVERAGE(CQ4:CQ13,CQ16:CQ27)</f>
        <v>#DIV/0!</v>
      </c>
      <c r="CS30" s="28"/>
      <c r="CT30" s="28"/>
      <c r="CU30" s="25"/>
      <c r="CV30" s="28"/>
      <c r="CW30" s="29"/>
      <c r="CX30" s="28"/>
      <c r="CY30" s="25" t="e">
        <f>AVERAGE(CX4:CX13,CX16:CX27)</f>
        <v>#DIV/0!</v>
      </c>
      <c r="CZ30" s="28"/>
      <c r="DA30" s="28"/>
      <c r="DB30" s="25"/>
      <c r="DC30" s="28"/>
      <c r="DD30" s="29"/>
      <c r="DE30" s="28"/>
      <c r="DF30" s="25" t="e">
        <f>AVERAGE(DE4:DE13,DE16:DE27)</f>
        <v>#DIV/0!</v>
      </c>
      <c r="DG30" s="28"/>
      <c r="DH30" s="28"/>
      <c r="DI30" s="25"/>
      <c r="DJ30" s="28"/>
      <c r="DK30" s="29"/>
      <c r="DL30" s="28"/>
      <c r="DM30" s="25" t="e">
        <f>AVERAGE(DL4:DL13,DL16:DL27)</f>
        <v>#DIV/0!</v>
      </c>
      <c r="DN30" s="28"/>
      <c r="DO30" s="28"/>
      <c r="DP30" s="25"/>
      <c r="DQ30" s="28"/>
      <c r="DR30" s="29"/>
      <c r="DS30" s="28"/>
      <c r="DT30" s="25" t="e">
        <f>AVERAGE(DS4:DS13,DS16:DS27)</f>
        <v>#DIV/0!</v>
      </c>
      <c r="DU30" s="28"/>
      <c r="DV30" s="28"/>
      <c r="DW30" s="25"/>
      <c r="DX30" s="28"/>
      <c r="DY30" s="29"/>
      <c r="DZ30" s="28"/>
      <c r="EA30" s="25" t="e">
        <f>AVERAGE(DZ4:DZ13,DZ16:DZ27)</f>
        <v>#DIV/0!</v>
      </c>
      <c r="EB30" s="28"/>
      <c r="EC30" s="28"/>
      <c r="ED30" s="25"/>
      <c r="EE30" s="28"/>
      <c r="EF30" s="29"/>
      <c r="EG30" s="28"/>
      <c r="EH30" s="25" t="e">
        <f>AVERAGE(EG4:EG13,EG16:EG27)</f>
        <v>#DIV/0!</v>
      </c>
      <c r="EI30" s="28"/>
      <c r="EJ30" s="28"/>
      <c r="EK30" s="25"/>
      <c r="EL30" s="28"/>
      <c r="EM30" s="29"/>
      <c r="EN30" s="28"/>
      <c r="EO30" s="25" t="e">
        <f>AVERAGE(EN4:EN13,EN16:EN27)</f>
        <v>#DIV/0!</v>
      </c>
      <c r="EP30" s="28"/>
      <c r="EQ30" s="28"/>
      <c r="ER30" s="25"/>
      <c r="ES30" s="28"/>
      <c r="ET30" s="29"/>
      <c r="EU30" s="28"/>
      <c r="EV30" s="25" t="e">
        <f>AVERAGE(EU4:EU13,EU16:EU27)</f>
        <v>#DIV/0!</v>
      </c>
      <c r="EW30" s="28"/>
      <c r="EX30" s="28"/>
      <c r="EY30" s="25"/>
      <c r="EZ30" s="28"/>
      <c r="FA30" s="29"/>
      <c r="FB30" s="28"/>
      <c r="FC30" s="25" t="e">
        <f>AVERAGE(FB4:FB13,FB16:FB27)</f>
        <v>#DIV/0!</v>
      </c>
      <c r="FD30" s="28"/>
      <c r="FE30" s="28"/>
      <c r="FF30" s="25"/>
      <c r="FG30" s="28"/>
      <c r="FH30" s="29"/>
      <c r="FI30" s="28"/>
      <c r="FJ30" s="25" t="e">
        <f>AVERAGE(FI4:FI13,FI16:FI27)</f>
        <v>#DIV/0!</v>
      </c>
      <c r="FK30" s="28"/>
      <c r="FL30" s="28"/>
      <c r="FM30" s="25"/>
      <c r="FN30" s="28"/>
      <c r="FO30" s="29"/>
      <c r="FP30" s="28"/>
      <c r="FQ30" s="25" t="e">
        <f>AVERAGE(FP4:FP13,FP16:FP27)</f>
        <v>#DIV/0!</v>
      </c>
      <c r="FR30" s="28"/>
      <c r="FS30" s="28"/>
      <c r="FT30" s="25"/>
      <c r="FU30" s="28"/>
      <c r="FV30" s="29"/>
      <c r="FW30" s="28"/>
      <c r="FX30" s="25" t="e">
        <f>AVERAGE(FW4:FW13,FW16:FW27)</f>
        <v>#DIV/0!</v>
      </c>
      <c r="FY30" s="28"/>
      <c r="FZ30" s="28"/>
      <c r="GA30" s="25"/>
      <c r="GB30" s="28"/>
      <c r="GC30" s="29"/>
      <c r="GD30" s="28"/>
      <c r="GE30" s="25" t="e">
        <f>AVERAGE(GD4:GD13,GD16:GD27)</f>
        <v>#DIV/0!</v>
      </c>
      <c r="GF30" s="28"/>
      <c r="GG30" s="28"/>
      <c r="GH30" s="25"/>
      <c r="GI30" s="28"/>
      <c r="GJ30" s="29"/>
      <c r="GK30" s="28"/>
      <c r="GL30" s="25" t="e">
        <f>AVERAGE(GK4:GK13,GK16:GK27)</f>
        <v>#DIV/0!</v>
      </c>
      <c r="GM30" s="28"/>
      <c r="GN30" s="28"/>
      <c r="GO30" s="25"/>
      <c r="GP30" s="28"/>
      <c r="GQ30" s="29"/>
      <c r="GR30" s="28"/>
      <c r="GS30" s="25" t="e">
        <f>AVERAGE(GR4:GR13,GR16:GR27)</f>
        <v>#DIV/0!</v>
      </c>
      <c r="GT30" s="28"/>
      <c r="GU30" s="28"/>
      <c r="GV30" s="25"/>
      <c r="GW30" s="28"/>
      <c r="GX30" s="29"/>
      <c r="GY30" s="28"/>
      <c r="GZ30" s="25" t="e">
        <f>AVERAGE(GY4:GY13,GY16:GY27)</f>
        <v>#DIV/0!</v>
      </c>
      <c r="HA30" s="28"/>
      <c r="HB30" s="28"/>
      <c r="HC30" s="25"/>
      <c r="HD30" s="28"/>
      <c r="HE30" s="29"/>
      <c r="HF30" s="28"/>
      <c r="HG30" s="25" t="e">
        <f>AVERAGE(HF4:HF13,HF16:HF27)</f>
        <v>#DIV/0!</v>
      </c>
      <c r="HH30" s="28"/>
      <c r="HI30" s="28"/>
      <c r="HJ30" s="25"/>
      <c r="HK30" s="28"/>
      <c r="HL30" s="29"/>
      <c r="HM30" s="28"/>
      <c r="HN30" s="25" t="e">
        <f>AVERAGE(HM4:HM13,HM16:HM27)</f>
        <v>#DIV/0!</v>
      </c>
      <c r="HO30" s="28"/>
      <c r="HP30" s="28"/>
      <c r="HQ30" s="25"/>
      <c r="HR30" s="28"/>
      <c r="HS30" s="29"/>
      <c r="HT30" s="28"/>
      <c r="HU30" s="25" t="e">
        <f>AVERAGE(HT4:HT13,HT16:HT27)</f>
        <v>#DIV/0!</v>
      </c>
      <c r="HV30" s="28"/>
      <c r="HW30" s="28"/>
      <c r="HX30" s="25"/>
      <c r="HY30" s="28"/>
      <c r="HZ30" s="29"/>
      <c r="IA30" s="28"/>
      <c r="IB30" s="25" t="e">
        <f>AVERAGE(IA4:IA13,IA16:IA27)</f>
        <v>#DIV/0!</v>
      </c>
      <c r="IC30" s="28"/>
      <c r="ID30" s="28"/>
      <c r="IE30" s="25"/>
      <c r="IF30" s="28"/>
      <c r="IG30" s="29"/>
      <c r="IH30" s="28"/>
      <c r="II30" s="25" t="e">
        <f>AVERAGE(IH4:IH13,IH16:IH27)</f>
        <v>#DIV/0!</v>
      </c>
      <c r="IJ30" s="28"/>
      <c r="IK30" s="28"/>
      <c r="IL30" s="25"/>
      <c r="IM30" s="28"/>
      <c r="IN30" s="29"/>
      <c r="IO30" s="28"/>
      <c r="IP30" s="25" t="e">
        <f>AVERAGE(IO4:IO13,IO16:IO27)</f>
        <v>#DIV/0!</v>
      </c>
    </row>
    <row r="31" spans="11:250" ht="14.25">
      <c r="K31" s="5"/>
      <c r="L31" s="5"/>
      <c r="R31" s="5"/>
      <c r="S31" s="5"/>
      <c r="Y31" s="5"/>
      <c r="Z31" s="5"/>
      <c r="AF31" s="5"/>
      <c r="AG31" s="5"/>
      <c r="AM31" s="5"/>
      <c r="AN31" s="5"/>
      <c r="AT31" s="5"/>
      <c r="AU31" s="5"/>
      <c r="BA31" s="5"/>
      <c r="BB31" s="5"/>
      <c r="BH31" s="5"/>
      <c r="BI31" s="5"/>
      <c r="BO31" s="5"/>
      <c r="BP31" s="5"/>
      <c r="BV31" s="5"/>
      <c r="BW31" s="5"/>
      <c r="CC31" s="5"/>
      <c r="CD31" s="5"/>
      <c r="CJ31" s="5"/>
      <c r="CK31" s="5"/>
      <c r="CQ31" s="5"/>
      <c r="CR31" s="5"/>
      <c r="CX31" s="5"/>
      <c r="CY31" s="5"/>
      <c r="DE31" s="5"/>
      <c r="DF31" s="5"/>
      <c r="DL31" s="5"/>
      <c r="DM31" s="5"/>
      <c r="DS31" s="5"/>
      <c r="DT31" s="5"/>
      <c r="DZ31" s="5"/>
      <c r="EA31" s="5"/>
      <c r="EG31" s="5"/>
      <c r="EH31" s="5"/>
      <c r="EN31" s="5"/>
      <c r="EO31" s="5"/>
      <c r="EU31" s="5"/>
      <c r="EV31" s="5"/>
      <c r="FB31" s="5"/>
      <c r="FC31" s="5"/>
      <c r="FI31" s="5"/>
      <c r="FJ31" s="5"/>
      <c r="FP31" s="5"/>
      <c r="FQ31" s="5"/>
      <c r="FW31" s="5"/>
      <c r="FX31" s="5"/>
      <c r="GD31" s="5"/>
      <c r="GE31" s="5"/>
      <c r="GK31" s="5"/>
      <c r="GL31" s="5"/>
      <c r="GR31" s="5"/>
      <c r="GS31" s="5"/>
      <c r="GY31" s="5"/>
      <c r="GZ31" s="5"/>
      <c r="HF31" s="5"/>
      <c r="HG31" s="5"/>
      <c r="HM31" s="5"/>
      <c r="HN31" s="5"/>
      <c r="HT31" s="5"/>
      <c r="HU31" s="5"/>
      <c r="IA31" s="5"/>
      <c r="IB31" s="5"/>
      <c r="IH31" s="5"/>
      <c r="II31" s="5"/>
      <c r="IO31" s="5"/>
      <c r="IP31" s="5"/>
    </row>
    <row r="32" spans="11:250" ht="34.5" customHeight="1">
      <c r="K32" s="5"/>
      <c r="L32" s="5"/>
      <c r="R32" s="5"/>
      <c r="S32" s="5"/>
      <c r="Y32" s="5"/>
      <c r="Z32" s="5"/>
      <c r="AF32" s="5"/>
      <c r="AG32" s="5"/>
      <c r="AM32" s="5"/>
      <c r="AN32" s="5"/>
      <c r="AT32" s="5"/>
      <c r="AU32" s="5"/>
      <c r="BA32" s="5"/>
      <c r="BB32" s="5"/>
      <c r="BH32" s="5"/>
      <c r="BI32" s="5"/>
      <c r="BO32" s="5"/>
      <c r="BP32" s="5"/>
      <c r="BV32" s="5"/>
      <c r="BW32" s="5"/>
      <c r="CC32" s="5"/>
      <c r="CD32" s="5"/>
      <c r="CJ32" s="5"/>
      <c r="CK32" s="5"/>
      <c r="CQ32" s="5"/>
      <c r="CR32" s="5"/>
      <c r="CX32" s="5"/>
      <c r="CY32" s="5"/>
      <c r="DE32" s="5"/>
      <c r="DF32" s="5"/>
      <c r="DL32" s="5"/>
      <c r="DM32" s="5"/>
      <c r="DS32" s="5"/>
      <c r="DT32" s="5"/>
      <c r="DZ32" s="5"/>
      <c r="EA32" s="5"/>
      <c r="EG32" s="5"/>
      <c r="EH32" s="5"/>
      <c r="EN32" s="5"/>
      <c r="EO32" s="5"/>
      <c r="EU32" s="5"/>
      <c r="EV32" s="5"/>
      <c r="FB32" s="5"/>
      <c r="FC32" s="5"/>
      <c r="FI32" s="5"/>
      <c r="FJ32" s="5"/>
      <c r="FP32" s="5"/>
      <c r="FQ32" s="5"/>
      <c r="FW32" s="5"/>
      <c r="FX32" s="5"/>
      <c r="GD32" s="5"/>
      <c r="GE32" s="5"/>
      <c r="GK32" s="5"/>
      <c r="GL32" s="5"/>
      <c r="GR32" s="5"/>
      <c r="GS32" s="5"/>
      <c r="GY32" s="5"/>
      <c r="GZ32" s="5"/>
      <c r="HF32" s="5"/>
      <c r="HG32" s="5"/>
      <c r="HM32" s="5"/>
      <c r="HN32" s="5"/>
      <c r="HT32" s="5"/>
      <c r="HU32" s="5"/>
      <c r="IA32" s="5"/>
      <c r="IB32" s="5"/>
      <c r="IH32" s="5"/>
      <c r="II32" s="5"/>
      <c r="IO32" s="5"/>
      <c r="IP32" s="5"/>
    </row>
    <row r="33" spans="1:250" ht="34.5" customHeight="1">
      <c r="A33" s="73" t="s">
        <v>2</v>
      </c>
      <c r="B33" s="73" t="s">
        <v>20</v>
      </c>
      <c r="K33" s="5"/>
      <c r="L33" s="5"/>
      <c r="R33" s="5"/>
      <c r="S33" s="5"/>
      <c r="Y33" s="5"/>
      <c r="Z33" s="5"/>
      <c r="AF33" s="5"/>
      <c r="AG33" s="5"/>
      <c r="AM33" s="5"/>
      <c r="AN33" s="5"/>
      <c r="AT33" s="5"/>
      <c r="AU33" s="5"/>
      <c r="BA33" s="5"/>
      <c r="BB33" s="5"/>
      <c r="BH33" s="5"/>
      <c r="BI33" s="5"/>
      <c r="BO33" s="5"/>
      <c r="BP33" s="5"/>
      <c r="BV33" s="5"/>
      <c r="BW33" s="5"/>
      <c r="CC33" s="5"/>
      <c r="CD33" s="5"/>
      <c r="CJ33" s="5"/>
      <c r="CK33" s="5"/>
      <c r="CQ33" s="5"/>
      <c r="CR33" s="5"/>
      <c r="CX33" s="5"/>
      <c r="CY33" s="5"/>
      <c r="DE33" s="5"/>
      <c r="DF33" s="5"/>
      <c r="DL33" s="5"/>
      <c r="DM33" s="5"/>
      <c r="DS33" s="5"/>
      <c r="DT33" s="5"/>
      <c r="DZ33" s="5"/>
      <c r="EA33" s="5"/>
      <c r="EG33" s="5"/>
      <c r="EH33" s="5"/>
      <c r="EN33" s="5"/>
      <c r="EO33" s="5"/>
      <c r="EU33" s="5"/>
      <c r="EV33" s="5"/>
      <c r="FB33" s="5"/>
      <c r="FC33" s="5"/>
      <c r="FI33" s="5"/>
      <c r="FJ33" s="5"/>
      <c r="FP33" s="5"/>
      <c r="FQ33" s="5"/>
      <c r="FW33" s="5"/>
      <c r="FX33" s="5"/>
      <c r="GD33" s="5"/>
      <c r="GE33" s="5"/>
      <c r="GK33" s="5"/>
      <c r="GL33" s="5"/>
      <c r="GR33" s="5"/>
      <c r="GS33" s="5"/>
      <c r="GY33" s="5"/>
      <c r="GZ33" s="5"/>
      <c r="HF33" s="5"/>
      <c r="HG33" s="5"/>
      <c r="HM33" s="5"/>
      <c r="HN33" s="5"/>
      <c r="HT33" s="5"/>
      <c r="HU33" s="5"/>
      <c r="IA33" s="5"/>
      <c r="IB33" s="5"/>
      <c r="IH33" s="5"/>
      <c r="II33" s="5"/>
      <c r="IO33" s="5"/>
      <c r="IP33" s="5"/>
    </row>
    <row r="34" spans="1:2" ht="34.5" customHeight="1">
      <c r="A34" s="72">
        <v>1</v>
      </c>
      <c r="B34" s="72" t="s">
        <v>142</v>
      </c>
    </row>
    <row r="35" spans="1:2" ht="34.5" customHeight="1">
      <c r="A35" s="72">
        <v>2</v>
      </c>
      <c r="B35" s="72" t="s">
        <v>144</v>
      </c>
    </row>
    <row r="36" spans="1:2" ht="34.5" customHeight="1">
      <c r="A36" s="72">
        <v>3</v>
      </c>
      <c r="B36" s="72" t="s">
        <v>145</v>
      </c>
    </row>
    <row r="37" spans="1:2" ht="34.5" customHeight="1">
      <c r="A37" s="72">
        <v>4</v>
      </c>
      <c r="B37" s="72" t="s">
        <v>146</v>
      </c>
    </row>
    <row r="38" spans="1:2" ht="129">
      <c r="A38" s="72">
        <v>5</v>
      </c>
      <c r="B38" s="72" t="s">
        <v>147</v>
      </c>
    </row>
    <row r="39" ht="14.25">
      <c r="A39" s="97"/>
    </row>
    <row r="41" spans="1:250" ht="48" customHeight="1">
      <c r="A41" s="111" t="s">
        <v>194</v>
      </c>
      <c r="B41" s="112"/>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1"/>
      <c r="BR41" s="111"/>
      <c r="BS41" s="111"/>
      <c r="BT41" s="111"/>
      <c r="BU41" s="111"/>
      <c r="BV41" s="111"/>
      <c r="BW41" s="111"/>
      <c r="BX41" s="111"/>
      <c r="BY41" s="111"/>
      <c r="BZ41" s="111"/>
      <c r="CA41" s="111"/>
      <c r="CB41" s="111"/>
      <c r="CC41" s="111"/>
      <c r="CD41" s="111"/>
      <c r="CE41" s="111"/>
      <c r="CF41" s="111"/>
      <c r="CG41" s="111"/>
      <c r="CH41" s="111"/>
      <c r="CI41" s="111"/>
      <c r="CJ41" s="111"/>
      <c r="CK41" s="111"/>
      <c r="CL41" s="111"/>
      <c r="CM41" s="111"/>
      <c r="CN41" s="111"/>
      <c r="CO41" s="111"/>
      <c r="CP41" s="111"/>
      <c r="CQ41" s="111"/>
      <c r="CR41" s="111"/>
      <c r="CS41" s="111"/>
      <c r="CT41" s="111"/>
      <c r="CU41" s="111"/>
      <c r="CV41" s="111"/>
      <c r="CW41" s="111"/>
      <c r="CX41" s="111"/>
      <c r="CY41" s="111"/>
      <c r="CZ41" s="111"/>
      <c r="DA41" s="111"/>
      <c r="DB41" s="111"/>
      <c r="DC41" s="111"/>
      <c r="DD41" s="111"/>
      <c r="DE41" s="111"/>
      <c r="DF41" s="111"/>
      <c r="DG41" s="111"/>
      <c r="DH41" s="111"/>
      <c r="DI41" s="111"/>
      <c r="DJ41" s="111"/>
      <c r="DK41" s="111"/>
      <c r="DL41" s="111"/>
      <c r="DM41" s="111"/>
      <c r="DN41" s="111"/>
      <c r="DO41" s="111"/>
      <c r="DP41" s="111"/>
      <c r="DQ41" s="111"/>
      <c r="DR41" s="111"/>
      <c r="DS41" s="111"/>
      <c r="DT41" s="111"/>
      <c r="DU41" s="111"/>
      <c r="DV41" s="111"/>
      <c r="DW41" s="111"/>
      <c r="DX41" s="111"/>
      <c r="DY41" s="111"/>
      <c r="DZ41" s="111"/>
      <c r="EA41" s="111"/>
      <c r="EB41" s="111"/>
      <c r="EC41" s="111"/>
      <c r="ED41" s="111"/>
      <c r="EE41" s="111"/>
      <c r="EF41" s="111"/>
      <c r="EG41" s="111"/>
      <c r="EH41" s="111"/>
      <c r="EI41" s="111"/>
      <c r="EJ41" s="111"/>
      <c r="EK41" s="111"/>
      <c r="EL41" s="111"/>
      <c r="EM41" s="111"/>
      <c r="EN41" s="111"/>
      <c r="EO41" s="111"/>
      <c r="EP41" s="111"/>
      <c r="EQ41" s="111"/>
      <c r="ER41" s="111"/>
      <c r="ES41" s="111"/>
      <c r="ET41" s="111"/>
      <c r="EU41" s="111"/>
      <c r="EV41" s="111"/>
      <c r="EW41" s="111"/>
      <c r="EX41" s="111"/>
      <c r="EY41" s="111"/>
      <c r="EZ41" s="111"/>
      <c r="FA41" s="111"/>
      <c r="FB41" s="111"/>
      <c r="FC41" s="111"/>
      <c r="FD41" s="111"/>
      <c r="FE41" s="111"/>
      <c r="FF41" s="111"/>
      <c r="FG41" s="111"/>
      <c r="FH41" s="111"/>
      <c r="FI41" s="111"/>
      <c r="FJ41" s="111"/>
      <c r="FK41" s="111"/>
      <c r="FL41" s="111"/>
      <c r="FM41" s="111"/>
      <c r="FN41" s="111"/>
      <c r="FO41" s="111"/>
      <c r="FP41" s="111"/>
      <c r="FQ41" s="111"/>
      <c r="FR41" s="111"/>
      <c r="FS41" s="111"/>
      <c r="FT41" s="111"/>
      <c r="FU41" s="111"/>
      <c r="FV41" s="111"/>
      <c r="FW41" s="111"/>
      <c r="FX41" s="111"/>
      <c r="FY41" s="111"/>
      <c r="FZ41" s="111"/>
      <c r="GA41" s="111"/>
      <c r="GB41" s="111"/>
      <c r="GC41" s="111"/>
      <c r="GD41" s="111"/>
      <c r="GE41" s="111"/>
      <c r="GF41" s="111"/>
      <c r="GG41" s="111"/>
      <c r="GH41" s="111"/>
      <c r="GI41" s="111"/>
      <c r="GJ41" s="111"/>
      <c r="GK41" s="111"/>
      <c r="GL41" s="111"/>
      <c r="GM41" s="111"/>
      <c r="GN41" s="111"/>
      <c r="GO41" s="111"/>
      <c r="GP41" s="111"/>
      <c r="GQ41" s="111"/>
      <c r="GR41" s="111"/>
      <c r="GS41" s="111"/>
      <c r="GT41" s="111"/>
      <c r="GU41" s="111"/>
      <c r="GV41" s="111"/>
      <c r="GW41" s="111"/>
      <c r="GX41" s="111"/>
      <c r="GY41" s="111"/>
      <c r="GZ41" s="111"/>
      <c r="HA41" s="111"/>
      <c r="HB41" s="111"/>
      <c r="HC41" s="111"/>
      <c r="HD41" s="111"/>
      <c r="HE41" s="111"/>
      <c r="HF41" s="111"/>
      <c r="HG41" s="111"/>
      <c r="HH41" s="111"/>
      <c r="HI41" s="111"/>
      <c r="HJ41" s="111"/>
      <c r="HK41" s="111"/>
      <c r="HL41" s="111"/>
      <c r="HM41" s="111"/>
      <c r="HN41" s="111"/>
      <c r="HO41" s="111"/>
      <c r="HP41" s="111"/>
      <c r="HQ41" s="111"/>
      <c r="HR41" s="111"/>
      <c r="HS41" s="111"/>
      <c r="HT41" s="111"/>
      <c r="HU41" s="111"/>
      <c r="HV41" s="111"/>
      <c r="HW41" s="111"/>
      <c r="HX41" s="111"/>
      <c r="HY41" s="111"/>
      <c r="HZ41" s="111"/>
      <c r="IA41" s="111"/>
      <c r="IB41" s="111"/>
      <c r="IC41" s="111"/>
      <c r="ID41" s="111"/>
      <c r="IE41" s="111"/>
      <c r="IF41" s="111"/>
      <c r="IG41" s="111"/>
      <c r="IH41" s="111"/>
      <c r="II41" s="111"/>
      <c r="IJ41" s="111"/>
      <c r="IK41" s="111"/>
      <c r="IL41" s="111"/>
      <c r="IM41" s="111"/>
      <c r="IN41" s="111"/>
      <c r="IO41" s="111"/>
      <c r="IP41" s="111"/>
    </row>
    <row r="42" spans="1:250" ht="57" customHeight="1">
      <c r="A42" s="114" t="s">
        <v>201</v>
      </c>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3"/>
      <c r="BG42" s="113"/>
      <c r="BH42" s="113"/>
      <c r="BI42" s="113"/>
      <c r="BJ42" s="113"/>
      <c r="BK42" s="113"/>
      <c r="BL42" s="113"/>
      <c r="BM42" s="113"/>
      <c r="BN42" s="113"/>
      <c r="BO42" s="113"/>
      <c r="BP42" s="113"/>
      <c r="BQ42" s="113"/>
      <c r="BR42" s="113"/>
      <c r="BS42" s="113"/>
      <c r="BT42" s="113"/>
      <c r="BU42" s="113"/>
      <c r="BV42" s="113"/>
      <c r="BW42" s="113"/>
      <c r="BX42" s="113"/>
      <c r="BY42" s="113"/>
      <c r="BZ42" s="113"/>
      <c r="CA42" s="113"/>
      <c r="CB42" s="113"/>
      <c r="CC42" s="113"/>
      <c r="CD42" s="113"/>
      <c r="CE42" s="113"/>
      <c r="CF42" s="113"/>
      <c r="CG42" s="113"/>
      <c r="CH42" s="113"/>
      <c r="CI42" s="113"/>
      <c r="CJ42" s="113"/>
      <c r="CK42" s="113"/>
      <c r="CL42" s="113"/>
      <c r="CM42" s="113"/>
      <c r="CN42" s="113"/>
      <c r="CO42" s="113"/>
      <c r="CP42" s="113"/>
      <c r="CQ42" s="113"/>
      <c r="CR42" s="113"/>
      <c r="CS42" s="113"/>
      <c r="CT42" s="113"/>
      <c r="CU42" s="113"/>
      <c r="CV42" s="113"/>
      <c r="CW42" s="113"/>
      <c r="CX42" s="113"/>
      <c r="CY42" s="113"/>
      <c r="CZ42" s="113"/>
      <c r="DA42" s="113"/>
      <c r="DB42" s="113"/>
      <c r="DC42" s="113"/>
      <c r="DD42" s="113"/>
      <c r="DE42" s="113"/>
      <c r="DF42" s="113"/>
      <c r="DG42" s="113"/>
      <c r="DH42" s="113"/>
      <c r="DI42" s="113"/>
      <c r="DJ42" s="113"/>
      <c r="DK42" s="113"/>
      <c r="DL42" s="113"/>
      <c r="DM42" s="113"/>
      <c r="DN42" s="113"/>
      <c r="DO42" s="113"/>
      <c r="DP42" s="113"/>
      <c r="DQ42" s="113"/>
      <c r="DR42" s="113"/>
      <c r="DS42" s="113"/>
      <c r="DT42" s="113"/>
      <c r="DU42" s="113"/>
      <c r="DV42" s="113"/>
      <c r="DW42" s="113"/>
      <c r="DX42" s="113"/>
      <c r="DY42" s="113"/>
      <c r="DZ42" s="113"/>
      <c r="EA42" s="113"/>
      <c r="EB42" s="113"/>
      <c r="EC42" s="113"/>
      <c r="ED42" s="113"/>
      <c r="EE42" s="113"/>
      <c r="EF42" s="113"/>
      <c r="EG42" s="113"/>
      <c r="EH42" s="113"/>
      <c r="EI42" s="113"/>
      <c r="EJ42" s="113"/>
      <c r="EK42" s="113"/>
      <c r="EL42" s="113"/>
      <c r="EM42" s="113"/>
      <c r="EN42" s="113"/>
      <c r="EO42" s="113"/>
      <c r="EP42" s="113"/>
      <c r="EQ42" s="113"/>
      <c r="ER42" s="113"/>
      <c r="ES42" s="113"/>
      <c r="ET42" s="113"/>
      <c r="EU42" s="113"/>
      <c r="EV42" s="113"/>
      <c r="EW42" s="113"/>
      <c r="EX42" s="113"/>
      <c r="EY42" s="113"/>
      <c r="EZ42" s="113"/>
      <c r="FA42" s="113"/>
      <c r="FB42" s="113"/>
      <c r="FC42" s="113"/>
      <c r="FD42" s="113"/>
      <c r="FE42" s="113"/>
      <c r="FF42" s="113"/>
      <c r="FG42" s="113"/>
      <c r="FH42" s="113"/>
      <c r="FI42" s="113"/>
      <c r="FJ42" s="113"/>
      <c r="FK42" s="113"/>
      <c r="FL42" s="113"/>
      <c r="FM42" s="113"/>
      <c r="FN42" s="113"/>
      <c r="FO42" s="113"/>
      <c r="FP42" s="113"/>
      <c r="FQ42" s="113"/>
      <c r="FR42" s="113"/>
      <c r="FS42" s="113"/>
      <c r="FT42" s="113"/>
      <c r="FU42" s="113"/>
      <c r="FV42" s="113"/>
      <c r="FW42" s="113"/>
      <c r="FX42" s="113"/>
      <c r="FY42" s="113"/>
      <c r="FZ42" s="113"/>
      <c r="GA42" s="113"/>
      <c r="GB42" s="113"/>
      <c r="GC42" s="113"/>
      <c r="GD42" s="113"/>
      <c r="GE42" s="113"/>
      <c r="GF42" s="113"/>
      <c r="GG42" s="113"/>
      <c r="GH42" s="113"/>
      <c r="GI42" s="113"/>
      <c r="GJ42" s="113"/>
      <c r="GK42" s="113"/>
      <c r="GL42" s="113"/>
      <c r="GM42" s="113"/>
      <c r="GN42" s="113"/>
      <c r="GO42" s="113"/>
      <c r="GP42" s="113"/>
      <c r="GQ42" s="113"/>
      <c r="GR42" s="113"/>
      <c r="GS42" s="113"/>
      <c r="GT42" s="113"/>
      <c r="GU42" s="113"/>
      <c r="GV42" s="113"/>
      <c r="GW42" s="113"/>
      <c r="GX42" s="113"/>
      <c r="GY42" s="113"/>
      <c r="GZ42" s="113"/>
      <c r="HA42" s="113"/>
      <c r="HB42" s="113"/>
      <c r="HC42" s="113"/>
      <c r="HD42" s="113"/>
      <c r="HE42" s="113"/>
      <c r="HF42" s="113"/>
      <c r="HG42" s="113"/>
      <c r="HH42" s="113"/>
      <c r="HI42" s="113"/>
      <c r="HJ42" s="113"/>
      <c r="HK42" s="113"/>
      <c r="HL42" s="113"/>
      <c r="HM42" s="113"/>
      <c r="HN42" s="113"/>
      <c r="HO42" s="113"/>
      <c r="HP42" s="113"/>
      <c r="HQ42" s="113"/>
      <c r="HR42" s="113"/>
      <c r="HS42" s="113"/>
      <c r="HT42" s="113"/>
      <c r="HU42" s="113"/>
      <c r="HV42" s="113"/>
      <c r="HW42" s="113"/>
      <c r="HX42" s="113"/>
      <c r="HY42" s="113"/>
      <c r="HZ42" s="113"/>
      <c r="IA42" s="113"/>
      <c r="IB42" s="113"/>
      <c r="IC42" s="113"/>
      <c r="ID42" s="113"/>
      <c r="IE42" s="113"/>
      <c r="IF42" s="113"/>
      <c r="IG42" s="113"/>
      <c r="IH42" s="113"/>
      <c r="II42" s="113"/>
      <c r="IJ42" s="113"/>
      <c r="IK42" s="113"/>
      <c r="IL42" s="113"/>
      <c r="IM42" s="113"/>
      <c r="IN42" s="113"/>
      <c r="IO42" s="113"/>
      <c r="IP42" s="113"/>
    </row>
    <row r="43" spans="1:250" ht="32.25" customHeight="1">
      <c r="A43" s="114" t="s">
        <v>199</v>
      </c>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113"/>
      <c r="BQ43" s="113"/>
      <c r="BR43" s="113"/>
      <c r="BS43" s="113"/>
      <c r="BT43" s="113"/>
      <c r="BU43" s="113"/>
      <c r="BV43" s="113"/>
      <c r="BW43" s="113"/>
      <c r="BX43" s="113"/>
      <c r="BY43" s="113"/>
      <c r="BZ43" s="113"/>
      <c r="CA43" s="113"/>
      <c r="CB43" s="113"/>
      <c r="CC43" s="113"/>
      <c r="CD43" s="113"/>
      <c r="CE43" s="113"/>
      <c r="CF43" s="113"/>
      <c r="CG43" s="113"/>
      <c r="CH43" s="113"/>
      <c r="CI43" s="113"/>
      <c r="CJ43" s="113"/>
      <c r="CK43" s="113"/>
      <c r="CL43" s="113"/>
      <c r="CM43" s="113"/>
      <c r="CN43" s="113"/>
      <c r="CO43" s="113"/>
      <c r="CP43" s="113"/>
      <c r="CQ43" s="113"/>
      <c r="CR43" s="113"/>
      <c r="CS43" s="113"/>
      <c r="CT43" s="113"/>
      <c r="CU43" s="113"/>
      <c r="CV43" s="113"/>
      <c r="CW43" s="113"/>
      <c r="CX43" s="113"/>
      <c r="CY43" s="113"/>
      <c r="CZ43" s="113"/>
      <c r="DA43" s="113"/>
      <c r="DB43" s="113"/>
      <c r="DC43" s="113"/>
      <c r="DD43" s="113"/>
      <c r="DE43" s="113"/>
      <c r="DF43" s="113"/>
      <c r="DG43" s="113"/>
      <c r="DH43" s="113"/>
      <c r="DI43" s="113"/>
      <c r="DJ43" s="113"/>
      <c r="DK43" s="113"/>
      <c r="DL43" s="113"/>
      <c r="DM43" s="113"/>
      <c r="DN43" s="113"/>
      <c r="DO43" s="113"/>
      <c r="DP43" s="113"/>
      <c r="DQ43" s="113"/>
      <c r="DR43" s="113"/>
      <c r="DS43" s="113"/>
      <c r="DT43" s="113"/>
      <c r="DU43" s="113"/>
      <c r="DV43" s="113"/>
      <c r="DW43" s="113"/>
      <c r="DX43" s="113"/>
      <c r="DY43" s="113"/>
      <c r="DZ43" s="113"/>
      <c r="EA43" s="113"/>
      <c r="EB43" s="113"/>
      <c r="EC43" s="113"/>
      <c r="ED43" s="113"/>
      <c r="EE43" s="113"/>
      <c r="EF43" s="113"/>
      <c r="EG43" s="113"/>
      <c r="EH43" s="113"/>
      <c r="EI43" s="113"/>
      <c r="EJ43" s="113"/>
      <c r="EK43" s="113"/>
      <c r="EL43" s="113"/>
      <c r="EM43" s="113"/>
      <c r="EN43" s="113"/>
      <c r="EO43" s="113"/>
      <c r="EP43" s="113"/>
      <c r="EQ43" s="113"/>
      <c r="ER43" s="113"/>
      <c r="ES43" s="113"/>
      <c r="ET43" s="113"/>
      <c r="EU43" s="113"/>
      <c r="EV43" s="113"/>
      <c r="EW43" s="113"/>
      <c r="EX43" s="113"/>
      <c r="EY43" s="113"/>
      <c r="EZ43" s="113"/>
      <c r="FA43" s="113"/>
      <c r="FB43" s="113"/>
      <c r="FC43" s="113"/>
      <c r="FD43" s="113"/>
      <c r="FE43" s="113"/>
      <c r="FF43" s="113"/>
      <c r="FG43" s="113"/>
      <c r="FH43" s="113"/>
      <c r="FI43" s="113"/>
      <c r="FJ43" s="113"/>
      <c r="FK43" s="113"/>
      <c r="FL43" s="113"/>
      <c r="FM43" s="113"/>
      <c r="FN43" s="113"/>
      <c r="FO43" s="113"/>
      <c r="FP43" s="113"/>
      <c r="FQ43" s="113"/>
      <c r="FR43" s="113"/>
      <c r="FS43" s="113"/>
      <c r="FT43" s="113"/>
      <c r="FU43" s="113"/>
      <c r="FV43" s="113"/>
      <c r="FW43" s="113"/>
      <c r="FX43" s="113"/>
      <c r="FY43" s="113"/>
      <c r="FZ43" s="113"/>
      <c r="GA43" s="113"/>
      <c r="GB43" s="113"/>
      <c r="GC43" s="113"/>
      <c r="GD43" s="113"/>
      <c r="GE43" s="113"/>
      <c r="GF43" s="113"/>
      <c r="GG43" s="113"/>
      <c r="GH43" s="113"/>
      <c r="GI43" s="113"/>
      <c r="GJ43" s="113"/>
      <c r="GK43" s="113"/>
      <c r="GL43" s="113"/>
      <c r="GM43" s="113"/>
      <c r="GN43" s="113"/>
      <c r="GO43" s="113"/>
      <c r="GP43" s="113"/>
      <c r="GQ43" s="113"/>
      <c r="GR43" s="113"/>
      <c r="GS43" s="113"/>
      <c r="GT43" s="113"/>
      <c r="GU43" s="113"/>
      <c r="GV43" s="113"/>
      <c r="GW43" s="113"/>
      <c r="GX43" s="113"/>
      <c r="GY43" s="113"/>
      <c r="GZ43" s="113"/>
      <c r="HA43" s="113"/>
      <c r="HB43" s="113"/>
      <c r="HC43" s="113"/>
      <c r="HD43" s="113"/>
      <c r="HE43" s="113"/>
      <c r="HF43" s="113"/>
      <c r="HG43" s="113"/>
      <c r="HH43" s="113"/>
      <c r="HI43" s="113"/>
      <c r="HJ43" s="113"/>
      <c r="HK43" s="113"/>
      <c r="HL43" s="113"/>
      <c r="HM43" s="113"/>
      <c r="HN43" s="113"/>
      <c r="HO43" s="113"/>
      <c r="HP43" s="113"/>
      <c r="HQ43" s="113"/>
      <c r="HR43" s="113"/>
      <c r="HS43" s="113"/>
      <c r="HT43" s="113"/>
      <c r="HU43" s="113"/>
      <c r="HV43" s="113"/>
      <c r="HW43" s="113"/>
      <c r="HX43" s="113"/>
      <c r="HY43" s="113"/>
      <c r="HZ43" s="113"/>
      <c r="IA43" s="113"/>
      <c r="IB43" s="113"/>
      <c r="IC43" s="113"/>
      <c r="ID43" s="113"/>
      <c r="IE43" s="113"/>
      <c r="IF43" s="113"/>
      <c r="IG43" s="113"/>
      <c r="IH43" s="113"/>
      <c r="II43" s="113"/>
      <c r="IJ43" s="113"/>
      <c r="IK43" s="113"/>
      <c r="IL43" s="113"/>
      <c r="IM43" s="113"/>
      <c r="IN43" s="113"/>
      <c r="IO43" s="113"/>
      <c r="IP43" s="113"/>
    </row>
    <row r="44" spans="1:250" ht="45.75" customHeight="1">
      <c r="A44" s="114" t="s">
        <v>200</v>
      </c>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13"/>
      <c r="BF44" s="113"/>
      <c r="BG44" s="113"/>
      <c r="BH44" s="113"/>
      <c r="BI44" s="113"/>
      <c r="BJ44" s="113"/>
      <c r="BK44" s="113"/>
      <c r="BL44" s="113"/>
      <c r="BM44" s="113"/>
      <c r="BN44" s="113"/>
      <c r="BO44" s="113"/>
      <c r="BP44" s="113"/>
      <c r="BQ44" s="113"/>
      <c r="BR44" s="113"/>
      <c r="BS44" s="113"/>
      <c r="BT44" s="113"/>
      <c r="BU44" s="113"/>
      <c r="BV44" s="113"/>
      <c r="BW44" s="113"/>
      <c r="BX44" s="113"/>
      <c r="BY44" s="113"/>
      <c r="BZ44" s="113"/>
      <c r="CA44" s="113"/>
      <c r="CB44" s="113"/>
      <c r="CC44" s="113"/>
      <c r="CD44" s="113"/>
      <c r="CE44" s="113"/>
      <c r="CF44" s="113"/>
      <c r="CG44" s="113"/>
      <c r="CH44" s="113"/>
      <c r="CI44" s="113"/>
      <c r="CJ44" s="113"/>
      <c r="CK44" s="113"/>
      <c r="CL44" s="113"/>
      <c r="CM44" s="113"/>
      <c r="CN44" s="113"/>
      <c r="CO44" s="113"/>
      <c r="CP44" s="113"/>
      <c r="CQ44" s="113"/>
      <c r="CR44" s="113"/>
      <c r="CS44" s="113"/>
      <c r="CT44" s="113"/>
      <c r="CU44" s="113"/>
      <c r="CV44" s="113"/>
      <c r="CW44" s="113"/>
      <c r="CX44" s="113"/>
      <c r="CY44" s="113"/>
      <c r="CZ44" s="113"/>
      <c r="DA44" s="113"/>
      <c r="DB44" s="113"/>
      <c r="DC44" s="113"/>
      <c r="DD44" s="113"/>
      <c r="DE44" s="113"/>
      <c r="DF44" s="113"/>
      <c r="DG44" s="113"/>
      <c r="DH44" s="113"/>
      <c r="DI44" s="113"/>
      <c r="DJ44" s="113"/>
      <c r="DK44" s="113"/>
      <c r="DL44" s="113"/>
      <c r="DM44" s="113"/>
      <c r="DN44" s="113"/>
      <c r="DO44" s="113"/>
      <c r="DP44" s="113"/>
      <c r="DQ44" s="113"/>
      <c r="DR44" s="113"/>
      <c r="DS44" s="113"/>
      <c r="DT44" s="113"/>
      <c r="DU44" s="113"/>
      <c r="DV44" s="113"/>
      <c r="DW44" s="113"/>
      <c r="DX44" s="113"/>
      <c r="DY44" s="113"/>
      <c r="DZ44" s="113"/>
      <c r="EA44" s="113"/>
      <c r="EB44" s="113"/>
      <c r="EC44" s="113"/>
      <c r="ED44" s="113"/>
      <c r="EE44" s="113"/>
      <c r="EF44" s="113"/>
      <c r="EG44" s="113"/>
      <c r="EH44" s="113"/>
      <c r="EI44" s="113"/>
      <c r="EJ44" s="113"/>
      <c r="EK44" s="113"/>
      <c r="EL44" s="113"/>
      <c r="EM44" s="113"/>
      <c r="EN44" s="113"/>
      <c r="EO44" s="113"/>
      <c r="EP44" s="113"/>
      <c r="EQ44" s="113"/>
      <c r="ER44" s="113"/>
      <c r="ES44" s="113"/>
      <c r="ET44" s="113"/>
      <c r="EU44" s="113"/>
      <c r="EV44" s="113"/>
      <c r="EW44" s="113"/>
      <c r="EX44" s="113"/>
      <c r="EY44" s="113"/>
      <c r="EZ44" s="113"/>
      <c r="FA44" s="113"/>
      <c r="FB44" s="113"/>
      <c r="FC44" s="113"/>
      <c r="FD44" s="113"/>
      <c r="FE44" s="113"/>
      <c r="FF44" s="113"/>
      <c r="FG44" s="113"/>
      <c r="FH44" s="113"/>
      <c r="FI44" s="113"/>
      <c r="FJ44" s="113"/>
      <c r="FK44" s="113"/>
      <c r="FL44" s="113"/>
      <c r="FM44" s="113"/>
      <c r="FN44" s="113"/>
      <c r="FO44" s="113"/>
      <c r="FP44" s="113"/>
      <c r="FQ44" s="113"/>
      <c r="FR44" s="113"/>
      <c r="FS44" s="113"/>
      <c r="FT44" s="113"/>
      <c r="FU44" s="113"/>
      <c r="FV44" s="113"/>
      <c r="FW44" s="113"/>
      <c r="FX44" s="113"/>
      <c r="FY44" s="113"/>
      <c r="FZ44" s="113"/>
      <c r="GA44" s="113"/>
      <c r="GB44" s="113"/>
      <c r="GC44" s="113"/>
      <c r="GD44" s="113"/>
      <c r="GE44" s="113"/>
      <c r="GF44" s="113"/>
      <c r="GG44" s="113"/>
      <c r="GH44" s="113"/>
      <c r="GI44" s="113"/>
      <c r="GJ44" s="113"/>
      <c r="GK44" s="113"/>
      <c r="GL44" s="113"/>
      <c r="GM44" s="113"/>
      <c r="GN44" s="113"/>
      <c r="GO44" s="113"/>
      <c r="GP44" s="113"/>
      <c r="GQ44" s="113"/>
      <c r="GR44" s="113"/>
      <c r="GS44" s="113"/>
      <c r="GT44" s="113"/>
      <c r="GU44" s="113"/>
      <c r="GV44" s="113"/>
      <c r="GW44" s="113"/>
      <c r="GX44" s="113"/>
      <c r="GY44" s="113"/>
      <c r="GZ44" s="113"/>
      <c r="HA44" s="113"/>
      <c r="HB44" s="113"/>
      <c r="HC44" s="113"/>
      <c r="HD44" s="113"/>
      <c r="HE44" s="113"/>
      <c r="HF44" s="113"/>
      <c r="HG44" s="113"/>
      <c r="HH44" s="113"/>
      <c r="HI44" s="113"/>
      <c r="HJ44" s="113"/>
      <c r="HK44" s="113"/>
      <c r="HL44" s="113"/>
      <c r="HM44" s="113"/>
      <c r="HN44" s="113"/>
      <c r="HO44" s="113"/>
      <c r="HP44" s="113"/>
      <c r="HQ44" s="113"/>
      <c r="HR44" s="113"/>
      <c r="HS44" s="113"/>
      <c r="HT44" s="113"/>
      <c r="HU44" s="113"/>
      <c r="HV44" s="113"/>
      <c r="HW44" s="113"/>
      <c r="HX44" s="113"/>
      <c r="HY44" s="113"/>
      <c r="HZ44" s="113"/>
      <c r="IA44" s="113"/>
      <c r="IB44" s="113"/>
      <c r="IC44" s="113"/>
      <c r="ID44" s="113"/>
      <c r="IE44" s="113"/>
      <c r="IF44" s="113"/>
      <c r="IG44" s="113"/>
      <c r="IH44" s="113"/>
      <c r="II44" s="113"/>
      <c r="IJ44" s="113"/>
      <c r="IK44" s="113"/>
      <c r="IL44" s="113"/>
      <c r="IM44" s="113"/>
      <c r="IN44" s="113"/>
      <c r="IO44" s="113"/>
      <c r="IP44" s="113"/>
    </row>
  </sheetData>
  <sheetProtection/>
  <mergeCells count="70">
    <mergeCell ref="HV1:IB1"/>
    <mergeCell ref="IC1:II1"/>
    <mergeCell ref="HV2:IB2"/>
    <mergeCell ref="IC2:II2"/>
    <mergeCell ref="IJ1:IP1"/>
    <mergeCell ref="IJ2:IP2"/>
    <mergeCell ref="GT2:GZ2"/>
    <mergeCell ref="HA2:HG2"/>
    <mergeCell ref="HH1:HN1"/>
    <mergeCell ref="HO1:HU1"/>
    <mergeCell ref="HH2:HN2"/>
    <mergeCell ref="HO2:HU2"/>
    <mergeCell ref="GF1:GL1"/>
    <mergeCell ref="GM1:GS1"/>
    <mergeCell ref="GT1:GZ1"/>
    <mergeCell ref="HA1:HG1"/>
    <mergeCell ref="DN2:DT2"/>
    <mergeCell ref="DU2:EA2"/>
    <mergeCell ref="EB2:EH2"/>
    <mergeCell ref="EI2:EO2"/>
    <mergeCell ref="EP2:EV2"/>
    <mergeCell ref="EW2:FC2"/>
    <mergeCell ref="FD2:FJ2"/>
    <mergeCell ref="FK2:FQ2"/>
    <mergeCell ref="FR2:FX2"/>
    <mergeCell ref="FY2:GE2"/>
    <mergeCell ref="GF2:GL2"/>
    <mergeCell ref="GM2:GS2"/>
    <mergeCell ref="EW1:FC1"/>
    <mergeCell ref="FD1:FJ1"/>
    <mergeCell ref="FK1:FQ1"/>
    <mergeCell ref="FR1:FX1"/>
    <mergeCell ref="FY1:GE1"/>
    <mergeCell ref="DN1:DT1"/>
    <mergeCell ref="DU1:EA1"/>
    <mergeCell ref="EB1:EH1"/>
    <mergeCell ref="EI1:EO1"/>
    <mergeCell ref="EP1:EV1"/>
    <mergeCell ref="BQ2:BW2"/>
    <mergeCell ref="BX2:CD2"/>
    <mergeCell ref="CE2:CK2"/>
    <mergeCell ref="CL2:CR2"/>
    <mergeCell ref="CS2:CY2"/>
    <mergeCell ref="CZ2:DF2"/>
    <mergeCell ref="DG2:DM2"/>
    <mergeCell ref="BJ1:BP1"/>
    <mergeCell ref="BQ1:BW1"/>
    <mergeCell ref="BX1:CD1"/>
    <mergeCell ref="CE1:CK1"/>
    <mergeCell ref="CL1:CR1"/>
    <mergeCell ref="CS1:CY1"/>
    <mergeCell ref="CZ1:DF1"/>
    <mergeCell ref="DG1:DM1"/>
    <mergeCell ref="BJ2:BP2"/>
    <mergeCell ref="AV1:BB1"/>
    <mergeCell ref="BC1:BI1"/>
    <mergeCell ref="AH2:AN2"/>
    <mergeCell ref="AO2:AU2"/>
    <mergeCell ref="AV2:BB2"/>
    <mergeCell ref="BC2:BI2"/>
    <mergeCell ref="AA1:AG1"/>
    <mergeCell ref="T2:Z2"/>
    <mergeCell ref="AA2:AG2"/>
    <mergeCell ref="AH1:AN1"/>
    <mergeCell ref="AO1:AU1"/>
    <mergeCell ref="F1:L1"/>
    <mergeCell ref="F2:L2"/>
    <mergeCell ref="M1:S1"/>
    <mergeCell ref="M2:S2"/>
    <mergeCell ref="T1:Z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FF00"/>
  </sheetPr>
  <dimension ref="A1:IQ39"/>
  <sheetViews>
    <sheetView zoomScale="70" zoomScaleNormal="70" zoomScalePageLayoutView="0" workbookViewId="0" topLeftCell="A1">
      <pane xSplit="5" ySplit="2" topLeftCell="CF21" activePane="bottomRight" state="frozen"/>
      <selection pane="topLeft" activeCell="A1" sqref="A1"/>
      <selection pane="topRight" activeCell="F1" sqref="F1"/>
      <selection pane="bottomLeft" activeCell="A3" sqref="A3"/>
      <selection pane="bottomRight" activeCell="CH29" sqref="CH29"/>
    </sheetView>
  </sheetViews>
  <sheetFormatPr defaultColWidth="11.28125" defaultRowHeight="15"/>
  <cols>
    <col min="1" max="1" width="23.57421875" style="74" customWidth="1"/>
    <col min="2" max="2" width="12.28125" style="78" customWidth="1"/>
    <col min="3" max="3" width="19.57421875" style="74" customWidth="1"/>
    <col min="4" max="4" width="19.421875" style="74" customWidth="1"/>
    <col min="5" max="5" width="17.57421875" style="74" customWidth="1"/>
    <col min="6" max="6" width="15.140625" style="74" customWidth="1"/>
    <col min="7" max="9" width="11.28125" style="4" customWidth="1"/>
    <col min="10" max="10" width="16.28125" style="4" customWidth="1"/>
    <col min="11" max="11" width="11.28125" style="4" customWidth="1"/>
    <col min="12" max="12" width="14.28125" style="4" customWidth="1"/>
    <col min="13" max="13" width="14.00390625" style="4" customWidth="1"/>
    <col min="14" max="18" width="11.28125" style="4" customWidth="1"/>
    <col min="19" max="19" width="14.28125" style="4" customWidth="1"/>
    <col min="20" max="20" width="14.00390625" style="4" customWidth="1"/>
    <col min="21" max="26" width="11.28125" style="4" customWidth="1"/>
    <col min="27" max="27" width="14.00390625" style="4" customWidth="1"/>
    <col min="28" max="33" width="11.28125" style="4" customWidth="1"/>
    <col min="34" max="34" width="14.00390625" style="4" customWidth="1"/>
    <col min="35" max="40" width="11.28125" style="4" customWidth="1"/>
    <col min="41" max="41" width="14.00390625" style="4" customWidth="1"/>
    <col min="42" max="47" width="11.28125" style="4" customWidth="1"/>
    <col min="48" max="48" width="14.00390625" style="4" customWidth="1"/>
    <col min="49" max="54" width="11.28125" style="4" customWidth="1"/>
    <col min="55" max="55" width="14.00390625" style="4" customWidth="1"/>
    <col min="56" max="61" width="11.28125" style="4" customWidth="1"/>
    <col min="62" max="62" width="14.00390625" style="4" customWidth="1"/>
    <col min="63" max="68" width="11.28125" style="4" customWidth="1"/>
    <col min="69" max="69" width="14.00390625" style="4" customWidth="1"/>
    <col min="70" max="75" width="11.28125" style="4" customWidth="1"/>
    <col min="76" max="76" width="14.00390625" style="4" customWidth="1"/>
    <col min="77" max="82" width="11.28125" style="4" customWidth="1"/>
    <col min="83" max="83" width="14.00390625" style="4" customWidth="1"/>
    <col min="84" max="89" width="11.28125" style="4" customWidth="1"/>
    <col min="90" max="90" width="14.00390625" style="4" customWidth="1"/>
    <col min="91" max="96" width="11.28125" style="4" customWidth="1"/>
    <col min="97" max="97" width="16.28125" style="4" customWidth="1"/>
    <col min="98" max="103" width="11.28125" style="4" customWidth="1"/>
    <col min="104" max="104" width="17.00390625" style="4" customWidth="1"/>
    <col min="105" max="110" width="11.28125" style="4" customWidth="1"/>
    <col min="111" max="111" width="14.00390625" style="4" customWidth="1"/>
    <col min="112" max="117" width="11.28125" style="4" customWidth="1"/>
    <col min="118" max="118" width="14.00390625" style="4" customWidth="1"/>
    <col min="119" max="124" width="11.28125" style="4" customWidth="1"/>
    <col min="125" max="125" width="14.00390625" style="4" customWidth="1"/>
    <col min="126" max="131" width="11.28125" style="4" customWidth="1"/>
    <col min="132" max="132" width="14.00390625" style="4" customWidth="1"/>
    <col min="133" max="138" width="11.28125" style="4" customWidth="1"/>
    <col min="139" max="139" width="14.00390625" style="4" customWidth="1"/>
    <col min="140" max="145" width="11.28125" style="4" customWidth="1"/>
    <col min="146" max="146" width="14.00390625" style="4" customWidth="1"/>
    <col min="147" max="152" width="11.28125" style="4" customWidth="1"/>
    <col min="153" max="153" width="14.00390625" style="4" customWidth="1"/>
    <col min="154" max="159" width="11.28125" style="4" customWidth="1"/>
    <col min="160" max="160" width="14.00390625" style="4" customWidth="1"/>
    <col min="161" max="166" width="11.28125" style="4" customWidth="1"/>
    <col min="167" max="167" width="14.00390625" style="4" customWidth="1"/>
    <col min="168" max="173" width="11.28125" style="4" customWidth="1"/>
    <col min="174" max="174" width="14.00390625" style="4" customWidth="1"/>
    <col min="175" max="180" width="11.28125" style="4" customWidth="1"/>
    <col min="181" max="181" width="14.00390625" style="4" customWidth="1"/>
    <col min="182" max="187" width="11.28125" style="4" customWidth="1"/>
    <col min="188" max="188" width="14.00390625" style="4" customWidth="1"/>
    <col min="189" max="194" width="11.28125" style="4" customWidth="1"/>
    <col min="195" max="195" width="14.00390625" style="4" customWidth="1"/>
    <col min="196" max="201" width="11.28125" style="4" customWidth="1"/>
    <col min="202" max="202" width="14.00390625" style="4" customWidth="1"/>
    <col min="203" max="208" width="11.28125" style="4" customWidth="1"/>
    <col min="209" max="209" width="14.00390625" style="4" customWidth="1"/>
    <col min="210" max="215" width="11.28125" style="4" customWidth="1"/>
    <col min="216" max="216" width="14.00390625" style="4" customWidth="1"/>
    <col min="217" max="222" width="11.28125" style="4" customWidth="1"/>
    <col min="223" max="223" width="14.00390625" style="4" customWidth="1"/>
    <col min="224" max="229" width="11.28125" style="4" customWidth="1"/>
    <col min="230" max="230" width="14.00390625" style="4" customWidth="1"/>
    <col min="231" max="236" width="11.28125" style="4" customWidth="1"/>
    <col min="237" max="237" width="14.00390625" style="4" customWidth="1"/>
    <col min="238" max="243" width="11.28125" style="4" customWidth="1"/>
    <col min="244" max="244" width="14.00390625" style="4" customWidth="1"/>
    <col min="245" max="250" width="11.28125" style="4" customWidth="1"/>
    <col min="251" max="251" width="14.00390625" style="4" customWidth="1"/>
    <col min="252" max="16384" width="11.28125" style="4" customWidth="1"/>
  </cols>
  <sheetData>
    <row r="1" spans="1:251" s="6" customFormat="1" ht="15" customHeight="1">
      <c r="A1" s="75"/>
      <c r="B1" s="76"/>
      <c r="C1" s="75"/>
      <c r="D1" s="75"/>
      <c r="E1" s="75"/>
      <c r="F1" s="75"/>
      <c r="G1" s="137" t="str">
        <f>CONCATENATE(Species!A37,Species!B37)</f>
        <v>36</v>
      </c>
      <c r="H1" s="138"/>
      <c r="I1" s="138"/>
      <c r="J1" s="138"/>
      <c r="K1" s="138"/>
      <c r="L1" s="138"/>
      <c r="M1" s="138"/>
      <c r="N1" s="134" t="str">
        <f>CONCATENATE(Species!A38,Species!B38)</f>
        <v>37</v>
      </c>
      <c r="O1" s="135"/>
      <c r="P1" s="135"/>
      <c r="Q1" s="135"/>
      <c r="R1" s="135"/>
      <c r="S1" s="135"/>
      <c r="T1" s="136"/>
      <c r="U1" s="137" t="str">
        <f>CONCATENATE(Species!A39,Species!B39)</f>
        <v>38</v>
      </c>
      <c r="V1" s="138"/>
      <c r="W1" s="138"/>
      <c r="X1" s="138"/>
      <c r="Y1" s="138"/>
      <c r="Z1" s="138"/>
      <c r="AA1" s="138"/>
      <c r="AB1" s="134" t="str">
        <f>CONCATENATE(Species!A40,Species!B40)</f>
        <v>39</v>
      </c>
      <c r="AC1" s="135"/>
      <c r="AD1" s="135"/>
      <c r="AE1" s="135"/>
      <c r="AF1" s="135"/>
      <c r="AG1" s="135"/>
      <c r="AH1" s="136"/>
      <c r="AI1" s="137" t="str">
        <f>CONCATENATE(Species!A41,Species!B41)</f>
        <v>40</v>
      </c>
      <c r="AJ1" s="138"/>
      <c r="AK1" s="138"/>
      <c r="AL1" s="138"/>
      <c r="AM1" s="138"/>
      <c r="AN1" s="138"/>
      <c r="AO1" s="138"/>
      <c r="AP1" s="134" t="str">
        <f>CONCATENATE(Species!A42,Species!B42)</f>
        <v>41</v>
      </c>
      <c r="AQ1" s="135"/>
      <c r="AR1" s="135"/>
      <c r="AS1" s="135"/>
      <c r="AT1" s="135"/>
      <c r="AU1" s="135"/>
      <c r="AV1" s="136"/>
      <c r="AW1" s="137" t="str">
        <f>CONCATENATE(Species!A43,Species!B43)</f>
        <v>42</v>
      </c>
      <c r="AX1" s="138"/>
      <c r="AY1" s="138"/>
      <c r="AZ1" s="138"/>
      <c r="BA1" s="138"/>
      <c r="BB1" s="138"/>
      <c r="BC1" s="138"/>
      <c r="BD1" s="134" t="str">
        <f>CONCATENATE(Species!A44,Species!B44)</f>
        <v>43</v>
      </c>
      <c r="BE1" s="135"/>
      <c r="BF1" s="135"/>
      <c r="BG1" s="135"/>
      <c r="BH1" s="135"/>
      <c r="BI1" s="135"/>
      <c r="BJ1" s="136"/>
      <c r="BK1" s="137" t="str">
        <f>CONCATENATE(Species!A45,Species!B45)</f>
        <v>44</v>
      </c>
      <c r="BL1" s="138"/>
      <c r="BM1" s="138"/>
      <c r="BN1" s="138"/>
      <c r="BO1" s="138"/>
      <c r="BP1" s="138"/>
      <c r="BQ1" s="138"/>
      <c r="BR1" s="134" t="str">
        <f>CONCATENATE(Species!A46,Species!B46)</f>
        <v>45</v>
      </c>
      <c r="BS1" s="135"/>
      <c r="BT1" s="135"/>
      <c r="BU1" s="135"/>
      <c r="BV1" s="135"/>
      <c r="BW1" s="135"/>
      <c r="BX1" s="136"/>
      <c r="BY1" s="137" t="str">
        <f>CONCATENATE(Species!A47,Species!B47)</f>
        <v>46</v>
      </c>
      <c r="BZ1" s="138"/>
      <c r="CA1" s="138"/>
      <c r="CB1" s="138"/>
      <c r="CC1" s="138"/>
      <c r="CD1" s="138"/>
      <c r="CE1" s="138"/>
      <c r="CF1" s="134" t="str">
        <f>CONCATENATE(Species!A48,Species!B48)</f>
        <v>47</v>
      </c>
      <c r="CG1" s="135"/>
      <c r="CH1" s="135"/>
      <c r="CI1" s="135"/>
      <c r="CJ1" s="135"/>
      <c r="CK1" s="135"/>
      <c r="CL1" s="136"/>
      <c r="CM1" s="137" t="str">
        <f>CONCATENATE(Species!A49,Species!B49)</f>
        <v>48</v>
      </c>
      <c r="CN1" s="138"/>
      <c r="CO1" s="138"/>
      <c r="CP1" s="138"/>
      <c r="CQ1" s="138"/>
      <c r="CR1" s="138"/>
      <c r="CS1" s="138"/>
      <c r="CT1" s="134" t="str">
        <f>CONCATENATE(Species!A50,Species!B50)</f>
        <v>49</v>
      </c>
      <c r="CU1" s="135"/>
      <c r="CV1" s="135"/>
      <c r="CW1" s="135"/>
      <c r="CX1" s="135"/>
      <c r="CY1" s="135"/>
      <c r="CZ1" s="136"/>
      <c r="DA1" s="137" t="str">
        <f>CONCATENATE(Species!A51,Species!B51)</f>
        <v>50</v>
      </c>
      <c r="DB1" s="138"/>
      <c r="DC1" s="138"/>
      <c r="DD1" s="138"/>
      <c r="DE1" s="138"/>
      <c r="DF1" s="138"/>
      <c r="DG1" s="138"/>
      <c r="DH1" s="134"/>
      <c r="DI1" s="135"/>
      <c r="DJ1" s="135"/>
      <c r="DK1" s="135"/>
      <c r="DL1" s="135"/>
      <c r="DM1" s="135"/>
      <c r="DN1" s="135"/>
      <c r="DO1" s="137"/>
      <c r="DP1" s="138"/>
      <c r="DQ1" s="138"/>
      <c r="DR1" s="138"/>
      <c r="DS1" s="138"/>
      <c r="DT1" s="138"/>
      <c r="DU1" s="138"/>
      <c r="DV1" s="134"/>
      <c r="DW1" s="135"/>
      <c r="DX1" s="135"/>
      <c r="DY1" s="135"/>
      <c r="DZ1" s="135"/>
      <c r="EA1" s="135"/>
      <c r="EB1" s="135"/>
      <c r="EC1" s="137"/>
      <c r="ED1" s="138"/>
      <c r="EE1" s="138"/>
      <c r="EF1" s="138"/>
      <c r="EG1" s="138"/>
      <c r="EH1" s="138"/>
      <c r="EI1" s="138"/>
      <c r="EJ1" s="134"/>
      <c r="EK1" s="135"/>
      <c r="EL1" s="135"/>
      <c r="EM1" s="135"/>
      <c r="EN1" s="135"/>
      <c r="EO1" s="135"/>
      <c r="EP1" s="135"/>
      <c r="EQ1" s="134"/>
      <c r="ER1" s="135"/>
      <c r="ES1" s="135"/>
      <c r="ET1" s="135"/>
      <c r="EU1" s="135"/>
      <c r="EV1" s="135"/>
      <c r="EW1" s="135"/>
      <c r="EX1" s="137"/>
      <c r="EY1" s="138"/>
      <c r="EZ1" s="138"/>
      <c r="FA1" s="138"/>
      <c r="FB1" s="138"/>
      <c r="FC1" s="138"/>
      <c r="FD1" s="138"/>
      <c r="FE1" s="134"/>
      <c r="FF1" s="135"/>
      <c r="FG1" s="135"/>
      <c r="FH1" s="135"/>
      <c r="FI1" s="135"/>
      <c r="FJ1" s="135"/>
      <c r="FK1" s="135"/>
      <c r="FL1" s="137"/>
      <c r="FM1" s="138"/>
      <c r="FN1" s="138"/>
      <c r="FO1" s="138"/>
      <c r="FP1" s="138"/>
      <c r="FQ1" s="138"/>
      <c r="FR1" s="138"/>
      <c r="FS1" s="134"/>
      <c r="FT1" s="135"/>
      <c r="FU1" s="135"/>
      <c r="FV1" s="135"/>
      <c r="FW1" s="135"/>
      <c r="FX1" s="135"/>
      <c r="FY1" s="135"/>
      <c r="FZ1" s="134"/>
      <c r="GA1" s="135"/>
      <c r="GB1" s="135"/>
      <c r="GC1" s="135"/>
      <c r="GD1" s="135"/>
      <c r="GE1" s="135"/>
      <c r="GF1" s="135"/>
      <c r="GG1" s="137"/>
      <c r="GH1" s="138"/>
      <c r="GI1" s="138"/>
      <c r="GJ1" s="138"/>
      <c r="GK1" s="138"/>
      <c r="GL1" s="138"/>
      <c r="GM1" s="138"/>
      <c r="GN1" s="134"/>
      <c r="GO1" s="135"/>
      <c r="GP1" s="135"/>
      <c r="GQ1" s="135"/>
      <c r="GR1" s="135"/>
      <c r="GS1" s="135"/>
      <c r="GT1" s="135"/>
      <c r="GU1" s="137"/>
      <c r="GV1" s="138"/>
      <c r="GW1" s="138"/>
      <c r="GX1" s="138"/>
      <c r="GY1" s="138"/>
      <c r="GZ1" s="138"/>
      <c r="HA1" s="138"/>
      <c r="HB1" s="134"/>
      <c r="HC1" s="135"/>
      <c r="HD1" s="135"/>
      <c r="HE1" s="135"/>
      <c r="HF1" s="135"/>
      <c r="HG1" s="135"/>
      <c r="HH1" s="135"/>
      <c r="HI1" s="134"/>
      <c r="HJ1" s="135"/>
      <c r="HK1" s="135"/>
      <c r="HL1" s="135"/>
      <c r="HM1" s="135"/>
      <c r="HN1" s="135"/>
      <c r="HO1" s="135"/>
      <c r="HP1" s="137"/>
      <c r="HQ1" s="138"/>
      <c r="HR1" s="138"/>
      <c r="HS1" s="138"/>
      <c r="HT1" s="138"/>
      <c r="HU1" s="138"/>
      <c r="HV1" s="138"/>
      <c r="HW1" s="134"/>
      <c r="HX1" s="135"/>
      <c r="HY1" s="135"/>
      <c r="HZ1" s="135"/>
      <c r="IA1" s="135"/>
      <c r="IB1" s="135"/>
      <c r="IC1" s="135"/>
      <c r="ID1" s="137"/>
      <c r="IE1" s="138"/>
      <c r="IF1" s="138"/>
      <c r="IG1" s="138"/>
      <c r="IH1" s="138"/>
      <c r="II1" s="138"/>
      <c r="IJ1" s="138"/>
      <c r="IK1" s="134"/>
      <c r="IL1" s="135"/>
      <c r="IM1" s="135"/>
      <c r="IN1" s="135"/>
      <c r="IO1" s="135"/>
      <c r="IP1" s="135"/>
      <c r="IQ1" s="135"/>
    </row>
    <row r="2" spans="1:251" s="6" customFormat="1" ht="15" customHeight="1">
      <c r="A2" s="75"/>
      <c r="B2" s="76"/>
      <c r="C2" s="75"/>
      <c r="D2" s="75"/>
      <c r="E2" s="75"/>
      <c r="F2" s="75"/>
      <c r="G2" s="137">
        <f>Species!C37</f>
        <v>0</v>
      </c>
      <c r="H2" s="138"/>
      <c r="I2" s="138"/>
      <c r="J2" s="138"/>
      <c r="K2" s="138"/>
      <c r="L2" s="138"/>
      <c r="M2" s="138"/>
      <c r="N2" s="134">
        <f>Species!C38</f>
        <v>0</v>
      </c>
      <c r="O2" s="135"/>
      <c r="P2" s="135"/>
      <c r="Q2" s="135"/>
      <c r="R2" s="135"/>
      <c r="S2" s="135"/>
      <c r="T2" s="136"/>
      <c r="U2" s="137">
        <f>Species!C39</f>
        <v>0</v>
      </c>
      <c r="V2" s="138"/>
      <c r="W2" s="138"/>
      <c r="X2" s="138"/>
      <c r="Y2" s="138"/>
      <c r="Z2" s="138"/>
      <c r="AA2" s="138"/>
      <c r="AB2" s="134">
        <f>Species!C40</f>
        <v>0</v>
      </c>
      <c r="AC2" s="135"/>
      <c r="AD2" s="135"/>
      <c r="AE2" s="135"/>
      <c r="AF2" s="135"/>
      <c r="AG2" s="135"/>
      <c r="AH2" s="136"/>
      <c r="AI2" s="137">
        <f>Species!C41</f>
        <v>0</v>
      </c>
      <c r="AJ2" s="138"/>
      <c r="AK2" s="138"/>
      <c r="AL2" s="138"/>
      <c r="AM2" s="138"/>
      <c r="AN2" s="138"/>
      <c r="AO2" s="138"/>
      <c r="AP2" s="134">
        <f>Species!C42</f>
        <v>0</v>
      </c>
      <c r="AQ2" s="135"/>
      <c r="AR2" s="135"/>
      <c r="AS2" s="135"/>
      <c r="AT2" s="135"/>
      <c r="AU2" s="135"/>
      <c r="AV2" s="136"/>
      <c r="AW2" s="137">
        <f>Species!C43</f>
        <v>0</v>
      </c>
      <c r="AX2" s="138"/>
      <c r="AY2" s="138"/>
      <c r="AZ2" s="138"/>
      <c r="BA2" s="138"/>
      <c r="BB2" s="138"/>
      <c r="BC2" s="138"/>
      <c r="BD2" s="134">
        <f>Species!C44</f>
        <v>0</v>
      </c>
      <c r="BE2" s="135"/>
      <c r="BF2" s="135"/>
      <c r="BG2" s="135"/>
      <c r="BH2" s="135"/>
      <c r="BI2" s="135"/>
      <c r="BJ2" s="136"/>
      <c r="BK2" s="137">
        <f>Species!C45</f>
        <v>0</v>
      </c>
      <c r="BL2" s="138"/>
      <c r="BM2" s="138"/>
      <c r="BN2" s="138"/>
      <c r="BO2" s="138"/>
      <c r="BP2" s="138"/>
      <c r="BQ2" s="138"/>
      <c r="BR2" s="134">
        <f>Species!C46</f>
        <v>0</v>
      </c>
      <c r="BS2" s="135"/>
      <c r="BT2" s="135"/>
      <c r="BU2" s="135"/>
      <c r="BV2" s="135"/>
      <c r="BW2" s="135"/>
      <c r="BX2" s="136"/>
      <c r="BY2" s="137">
        <f>Species!C47</f>
        <v>0</v>
      </c>
      <c r="BZ2" s="138"/>
      <c r="CA2" s="138"/>
      <c r="CB2" s="138"/>
      <c r="CC2" s="138"/>
      <c r="CD2" s="138"/>
      <c r="CE2" s="138"/>
      <c r="CF2" s="134">
        <f>Species!C48</f>
        <v>0</v>
      </c>
      <c r="CG2" s="135"/>
      <c r="CH2" s="135"/>
      <c r="CI2" s="135"/>
      <c r="CJ2" s="135"/>
      <c r="CK2" s="135"/>
      <c r="CL2" s="136"/>
      <c r="CM2" s="137">
        <f>Species!C49</f>
        <v>0</v>
      </c>
      <c r="CN2" s="138"/>
      <c r="CO2" s="138"/>
      <c r="CP2" s="138"/>
      <c r="CQ2" s="138"/>
      <c r="CR2" s="138"/>
      <c r="CS2" s="138"/>
      <c r="CT2" s="134">
        <f>Species!C50</f>
        <v>0</v>
      </c>
      <c r="CU2" s="135"/>
      <c r="CV2" s="135"/>
      <c r="CW2" s="135"/>
      <c r="CX2" s="135"/>
      <c r="CY2" s="135"/>
      <c r="CZ2" s="136"/>
      <c r="DA2" s="137">
        <f>Species!C51</f>
        <v>0</v>
      </c>
      <c r="DB2" s="138"/>
      <c r="DC2" s="138"/>
      <c r="DD2" s="138"/>
      <c r="DE2" s="138"/>
      <c r="DF2" s="138"/>
      <c r="DG2" s="138"/>
      <c r="DH2" s="134" t="s">
        <v>26</v>
      </c>
      <c r="DI2" s="135"/>
      <c r="DJ2" s="135"/>
      <c r="DK2" s="135"/>
      <c r="DL2" s="135"/>
      <c r="DM2" s="135"/>
      <c r="DN2" s="135"/>
      <c r="DO2" s="137" t="s">
        <v>26</v>
      </c>
      <c r="DP2" s="138"/>
      <c r="DQ2" s="138"/>
      <c r="DR2" s="138"/>
      <c r="DS2" s="138"/>
      <c r="DT2" s="138"/>
      <c r="DU2" s="138"/>
      <c r="DV2" s="134" t="s">
        <v>26</v>
      </c>
      <c r="DW2" s="135"/>
      <c r="DX2" s="135"/>
      <c r="DY2" s="135"/>
      <c r="DZ2" s="135"/>
      <c r="EA2" s="135"/>
      <c r="EB2" s="135"/>
      <c r="EC2" s="137" t="s">
        <v>26</v>
      </c>
      <c r="ED2" s="138"/>
      <c r="EE2" s="138"/>
      <c r="EF2" s="138"/>
      <c r="EG2" s="138"/>
      <c r="EH2" s="138"/>
      <c r="EI2" s="138"/>
      <c r="EJ2" s="134" t="s">
        <v>26</v>
      </c>
      <c r="EK2" s="135"/>
      <c r="EL2" s="135"/>
      <c r="EM2" s="135"/>
      <c r="EN2" s="135"/>
      <c r="EO2" s="135"/>
      <c r="EP2" s="135"/>
      <c r="EQ2" s="134" t="s">
        <v>26</v>
      </c>
      <c r="ER2" s="135"/>
      <c r="ES2" s="135"/>
      <c r="ET2" s="135"/>
      <c r="EU2" s="135"/>
      <c r="EV2" s="135"/>
      <c r="EW2" s="135"/>
      <c r="EX2" s="137" t="s">
        <v>26</v>
      </c>
      <c r="EY2" s="138"/>
      <c r="EZ2" s="138"/>
      <c r="FA2" s="138"/>
      <c r="FB2" s="138"/>
      <c r="FC2" s="138"/>
      <c r="FD2" s="138"/>
      <c r="FE2" s="134" t="s">
        <v>26</v>
      </c>
      <c r="FF2" s="135"/>
      <c r="FG2" s="135"/>
      <c r="FH2" s="135"/>
      <c r="FI2" s="135"/>
      <c r="FJ2" s="135"/>
      <c r="FK2" s="135"/>
      <c r="FL2" s="137" t="s">
        <v>26</v>
      </c>
      <c r="FM2" s="138"/>
      <c r="FN2" s="138"/>
      <c r="FO2" s="138"/>
      <c r="FP2" s="138"/>
      <c r="FQ2" s="138"/>
      <c r="FR2" s="138"/>
      <c r="FS2" s="134" t="s">
        <v>26</v>
      </c>
      <c r="FT2" s="135"/>
      <c r="FU2" s="135"/>
      <c r="FV2" s="135"/>
      <c r="FW2" s="135"/>
      <c r="FX2" s="135"/>
      <c r="FY2" s="135"/>
      <c r="FZ2" s="134" t="s">
        <v>26</v>
      </c>
      <c r="GA2" s="135"/>
      <c r="GB2" s="135"/>
      <c r="GC2" s="135"/>
      <c r="GD2" s="135"/>
      <c r="GE2" s="135"/>
      <c r="GF2" s="135"/>
      <c r="GG2" s="137" t="s">
        <v>26</v>
      </c>
      <c r="GH2" s="138"/>
      <c r="GI2" s="138"/>
      <c r="GJ2" s="138"/>
      <c r="GK2" s="138"/>
      <c r="GL2" s="138"/>
      <c r="GM2" s="138"/>
      <c r="GN2" s="134" t="s">
        <v>26</v>
      </c>
      <c r="GO2" s="135"/>
      <c r="GP2" s="135"/>
      <c r="GQ2" s="135"/>
      <c r="GR2" s="135"/>
      <c r="GS2" s="135"/>
      <c r="GT2" s="135"/>
      <c r="GU2" s="137" t="s">
        <v>26</v>
      </c>
      <c r="GV2" s="138"/>
      <c r="GW2" s="138"/>
      <c r="GX2" s="138"/>
      <c r="GY2" s="138"/>
      <c r="GZ2" s="138"/>
      <c r="HA2" s="138"/>
      <c r="HB2" s="134" t="s">
        <v>26</v>
      </c>
      <c r="HC2" s="135"/>
      <c r="HD2" s="135"/>
      <c r="HE2" s="135"/>
      <c r="HF2" s="135"/>
      <c r="HG2" s="135"/>
      <c r="HH2" s="135"/>
      <c r="HI2" s="134" t="s">
        <v>26</v>
      </c>
      <c r="HJ2" s="135"/>
      <c r="HK2" s="135"/>
      <c r="HL2" s="135"/>
      <c r="HM2" s="135"/>
      <c r="HN2" s="135"/>
      <c r="HO2" s="135"/>
      <c r="HP2" s="137" t="s">
        <v>26</v>
      </c>
      <c r="HQ2" s="138"/>
      <c r="HR2" s="138"/>
      <c r="HS2" s="138"/>
      <c r="HT2" s="138"/>
      <c r="HU2" s="138"/>
      <c r="HV2" s="138"/>
      <c r="HW2" s="134" t="s">
        <v>26</v>
      </c>
      <c r="HX2" s="135"/>
      <c r="HY2" s="135"/>
      <c r="HZ2" s="135"/>
      <c r="IA2" s="135"/>
      <c r="IB2" s="135"/>
      <c r="IC2" s="135"/>
      <c r="ID2" s="137" t="s">
        <v>26</v>
      </c>
      <c r="IE2" s="138"/>
      <c r="IF2" s="138"/>
      <c r="IG2" s="138"/>
      <c r="IH2" s="138"/>
      <c r="II2" s="138"/>
      <c r="IJ2" s="138"/>
      <c r="IK2" s="134" t="s">
        <v>26</v>
      </c>
      <c r="IL2" s="135"/>
      <c r="IM2" s="135"/>
      <c r="IN2" s="135"/>
      <c r="IO2" s="135"/>
      <c r="IP2" s="135"/>
      <c r="IQ2" s="135"/>
    </row>
    <row r="3" spans="1:251" ht="48" customHeight="1">
      <c r="A3" s="119" t="s">
        <v>59</v>
      </c>
      <c r="B3" s="91" t="s">
        <v>60</v>
      </c>
      <c r="C3" s="91" t="s">
        <v>61</v>
      </c>
      <c r="D3" s="91" t="s">
        <v>62</v>
      </c>
      <c r="E3" s="91" t="s">
        <v>63</v>
      </c>
      <c r="F3" s="91" t="s">
        <v>24</v>
      </c>
      <c r="G3" s="91" t="s">
        <v>24</v>
      </c>
      <c r="H3" s="91" t="s">
        <v>25</v>
      </c>
      <c r="I3" s="91" t="s">
        <v>0</v>
      </c>
      <c r="J3" s="91" t="s">
        <v>1</v>
      </c>
      <c r="K3" s="91" t="s">
        <v>27</v>
      </c>
      <c r="L3" s="91" t="s">
        <v>2</v>
      </c>
      <c r="M3" s="91" t="s">
        <v>28</v>
      </c>
      <c r="N3" s="91" t="s">
        <v>24</v>
      </c>
      <c r="O3" s="91" t="s">
        <v>25</v>
      </c>
      <c r="P3" s="91" t="s">
        <v>0</v>
      </c>
      <c r="Q3" s="91" t="s">
        <v>1</v>
      </c>
      <c r="R3" s="91" t="s">
        <v>27</v>
      </c>
      <c r="S3" s="91" t="s">
        <v>2</v>
      </c>
      <c r="T3" s="91" t="s">
        <v>28</v>
      </c>
      <c r="U3" s="91" t="s">
        <v>24</v>
      </c>
      <c r="V3" s="91" t="s">
        <v>25</v>
      </c>
      <c r="W3" s="91" t="s">
        <v>0</v>
      </c>
      <c r="X3" s="91" t="s">
        <v>1</v>
      </c>
      <c r="Y3" s="91" t="s">
        <v>27</v>
      </c>
      <c r="Z3" s="91" t="s">
        <v>2</v>
      </c>
      <c r="AA3" s="91" t="s">
        <v>28</v>
      </c>
      <c r="AB3" s="91" t="s">
        <v>24</v>
      </c>
      <c r="AC3" s="91" t="s">
        <v>25</v>
      </c>
      <c r="AD3" s="91" t="s">
        <v>0</v>
      </c>
      <c r="AE3" s="91" t="s">
        <v>1</v>
      </c>
      <c r="AF3" s="91" t="s">
        <v>27</v>
      </c>
      <c r="AG3" s="91" t="s">
        <v>2</v>
      </c>
      <c r="AH3" s="91" t="s">
        <v>28</v>
      </c>
      <c r="AI3" s="91" t="s">
        <v>24</v>
      </c>
      <c r="AJ3" s="91" t="s">
        <v>25</v>
      </c>
      <c r="AK3" s="91" t="s">
        <v>0</v>
      </c>
      <c r="AL3" s="91" t="s">
        <v>1</v>
      </c>
      <c r="AM3" s="91" t="s">
        <v>27</v>
      </c>
      <c r="AN3" s="91" t="s">
        <v>2</v>
      </c>
      <c r="AO3" s="91" t="s">
        <v>28</v>
      </c>
      <c r="AP3" s="91" t="s">
        <v>24</v>
      </c>
      <c r="AQ3" s="91" t="s">
        <v>25</v>
      </c>
      <c r="AR3" s="91" t="s">
        <v>0</v>
      </c>
      <c r="AS3" s="91" t="s">
        <v>1</v>
      </c>
      <c r="AT3" s="91" t="s">
        <v>27</v>
      </c>
      <c r="AU3" s="91" t="s">
        <v>2</v>
      </c>
      <c r="AV3" s="91" t="s">
        <v>28</v>
      </c>
      <c r="AW3" s="91" t="s">
        <v>24</v>
      </c>
      <c r="AX3" s="91" t="s">
        <v>25</v>
      </c>
      <c r="AY3" s="91" t="s">
        <v>0</v>
      </c>
      <c r="AZ3" s="91" t="s">
        <v>1</v>
      </c>
      <c r="BA3" s="91" t="s">
        <v>27</v>
      </c>
      <c r="BB3" s="91" t="s">
        <v>2</v>
      </c>
      <c r="BC3" s="91" t="s">
        <v>28</v>
      </c>
      <c r="BD3" s="91" t="s">
        <v>24</v>
      </c>
      <c r="BE3" s="91" t="s">
        <v>25</v>
      </c>
      <c r="BF3" s="91" t="s">
        <v>0</v>
      </c>
      <c r="BG3" s="91" t="s">
        <v>1</v>
      </c>
      <c r="BH3" s="91" t="s">
        <v>27</v>
      </c>
      <c r="BI3" s="91" t="s">
        <v>2</v>
      </c>
      <c r="BJ3" s="91" t="s">
        <v>28</v>
      </c>
      <c r="BK3" s="91" t="s">
        <v>24</v>
      </c>
      <c r="BL3" s="91" t="s">
        <v>25</v>
      </c>
      <c r="BM3" s="91" t="s">
        <v>0</v>
      </c>
      <c r="BN3" s="91" t="s">
        <v>1</v>
      </c>
      <c r="BO3" s="91" t="s">
        <v>27</v>
      </c>
      <c r="BP3" s="91" t="s">
        <v>2</v>
      </c>
      <c r="BQ3" s="91" t="s">
        <v>28</v>
      </c>
      <c r="BR3" s="91" t="s">
        <v>24</v>
      </c>
      <c r="BS3" s="91" t="s">
        <v>25</v>
      </c>
      <c r="BT3" s="91" t="s">
        <v>0</v>
      </c>
      <c r="BU3" s="91" t="s">
        <v>1</v>
      </c>
      <c r="BV3" s="91" t="s">
        <v>27</v>
      </c>
      <c r="BW3" s="91" t="s">
        <v>2</v>
      </c>
      <c r="BX3" s="91" t="s">
        <v>28</v>
      </c>
      <c r="BY3" s="91" t="s">
        <v>24</v>
      </c>
      <c r="BZ3" s="91" t="s">
        <v>25</v>
      </c>
      <c r="CA3" s="91" t="s">
        <v>0</v>
      </c>
      <c r="CB3" s="91" t="s">
        <v>1</v>
      </c>
      <c r="CC3" s="91" t="s">
        <v>27</v>
      </c>
      <c r="CD3" s="91" t="s">
        <v>2</v>
      </c>
      <c r="CE3" s="91" t="s">
        <v>28</v>
      </c>
      <c r="CF3" s="91" t="s">
        <v>24</v>
      </c>
      <c r="CG3" s="91" t="s">
        <v>25</v>
      </c>
      <c r="CH3" s="91" t="s">
        <v>0</v>
      </c>
      <c r="CI3" s="91" t="s">
        <v>1</v>
      </c>
      <c r="CJ3" s="91" t="s">
        <v>27</v>
      </c>
      <c r="CK3" s="91" t="s">
        <v>2</v>
      </c>
      <c r="CL3" s="91" t="s">
        <v>28</v>
      </c>
      <c r="CM3" s="91" t="s">
        <v>24</v>
      </c>
      <c r="CN3" s="91" t="s">
        <v>25</v>
      </c>
      <c r="CO3" s="91" t="s">
        <v>0</v>
      </c>
      <c r="CP3" s="91" t="s">
        <v>1</v>
      </c>
      <c r="CQ3" s="91" t="s">
        <v>27</v>
      </c>
      <c r="CR3" s="91" t="s">
        <v>2</v>
      </c>
      <c r="CS3" s="91" t="s">
        <v>28</v>
      </c>
      <c r="CT3" s="91" t="s">
        <v>24</v>
      </c>
      <c r="CU3" s="91" t="s">
        <v>25</v>
      </c>
      <c r="CV3" s="91" t="s">
        <v>0</v>
      </c>
      <c r="CW3" s="91" t="s">
        <v>1</v>
      </c>
      <c r="CX3" s="91" t="s">
        <v>27</v>
      </c>
      <c r="CY3" s="91" t="s">
        <v>2</v>
      </c>
      <c r="CZ3" s="91" t="s">
        <v>28</v>
      </c>
      <c r="DA3" s="91" t="s">
        <v>24</v>
      </c>
      <c r="DB3" s="91" t="s">
        <v>25</v>
      </c>
      <c r="DC3" s="91" t="s">
        <v>0</v>
      </c>
      <c r="DD3" s="91" t="s">
        <v>1</v>
      </c>
      <c r="DE3" s="91" t="s">
        <v>27</v>
      </c>
      <c r="DF3" s="91" t="s">
        <v>2</v>
      </c>
      <c r="DG3" s="91" t="s">
        <v>28</v>
      </c>
      <c r="DH3" s="91" t="s">
        <v>24</v>
      </c>
      <c r="DI3" s="91" t="s">
        <v>25</v>
      </c>
      <c r="DJ3" s="91" t="s">
        <v>0</v>
      </c>
      <c r="DK3" s="91" t="s">
        <v>1</v>
      </c>
      <c r="DL3" s="91" t="s">
        <v>27</v>
      </c>
      <c r="DM3" s="91" t="s">
        <v>2</v>
      </c>
      <c r="DN3" s="91" t="s">
        <v>28</v>
      </c>
      <c r="DO3" s="91" t="s">
        <v>24</v>
      </c>
      <c r="DP3" s="91" t="s">
        <v>25</v>
      </c>
      <c r="DQ3" s="91" t="s">
        <v>0</v>
      </c>
      <c r="DR3" s="91" t="s">
        <v>1</v>
      </c>
      <c r="DS3" s="91" t="s">
        <v>27</v>
      </c>
      <c r="DT3" s="91" t="s">
        <v>2</v>
      </c>
      <c r="DU3" s="91" t="s">
        <v>28</v>
      </c>
      <c r="DV3" s="91" t="s">
        <v>24</v>
      </c>
      <c r="DW3" s="91" t="s">
        <v>25</v>
      </c>
      <c r="DX3" s="91" t="s">
        <v>0</v>
      </c>
      <c r="DY3" s="91" t="s">
        <v>1</v>
      </c>
      <c r="DZ3" s="91" t="s">
        <v>27</v>
      </c>
      <c r="EA3" s="91" t="s">
        <v>2</v>
      </c>
      <c r="EB3" s="91" t="s">
        <v>28</v>
      </c>
      <c r="EC3" s="91" t="s">
        <v>24</v>
      </c>
      <c r="ED3" s="91" t="s">
        <v>25</v>
      </c>
      <c r="EE3" s="91" t="s">
        <v>0</v>
      </c>
      <c r="EF3" s="91" t="s">
        <v>1</v>
      </c>
      <c r="EG3" s="91" t="s">
        <v>27</v>
      </c>
      <c r="EH3" s="91" t="s">
        <v>2</v>
      </c>
      <c r="EI3" s="91" t="s">
        <v>28</v>
      </c>
      <c r="EJ3" s="91" t="s">
        <v>24</v>
      </c>
      <c r="EK3" s="91" t="s">
        <v>25</v>
      </c>
      <c r="EL3" s="91" t="s">
        <v>0</v>
      </c>
      <c r="EM3" s="91" t="s">
        <v>1</v>
      </c>
      <c r="EN3" s="91" t="s">
        <v>27</v>
      </c>
      <c r="EO3" s="91" t="s">
        <v>2</v>
      </c>
      <c r="EP3" s="91" t="s">
        <v>28</v>
      </c>
      <c r="EQ3" s="91" t="s">
        <v>24</v>
      </c>
      <c r="ER3" s="91" t="s">
        <v>25</v>
      </c>
      <c r="ES3" s="91" t="s">
        <v>0</v>
      </c>
      <c r="ET3" s="91" t="s">
        <v>1</v>
      </c>
      <c r="EU3" s="91" t="s">
        <v>27</v>
      </c>
      <c r="EV3" s="91" t="s">
        <v>2</v>
      </c>
      <c r="EW3" s="91" t="s">
        <v>28</v>
      </c>
      <c r="EX3" s="91" t="s">
        <v>24</v>
      </c>
      <c r="EY3" s="91" t="s">
        <v>25</v>
      </c>
      <c r="EZ3" s="91" t="s">
        <v>0</v>
      </c>
      <c r="FA3" s="91" t="s">
        <v>1</v>
      </c>
      <c r="FB3" s="91" t="s">
        <v>27</v>
      </c>
      <c r="FC3" s="91" t="s">
        <v>2</v>
      </c>
      <c r="FD3" s="91" t="s">
        <v>28</v>
      </c>
      <c r="FE3" s="91" t="s">
        <v>24</v>
      </c>
      <c r="FF3" s="91" t="s">
        <v>25</v>
      </c>
      <c r="FG3" s="91" t="s">
        <v>0</v>
      </c>
      <c r="FH3" s="91" t="s">
        <v>1</v>
      </c>
      <c r="FI3" s="91" t="s">
        <v>27</v>
      </c>
      <c r="FJ3" s="91" t="s">
        <v>2</v>
      </c>
      <c r="FK3" s="91" t="s">
        <v>28</v>
      </c>
      <c r="FL3" s="91" t="s">
        <v>24</v>
      </c>
      <c r="FM3" s="91" t="s">
        <v>25</v>
      </c>
      <c r="FN3" s="91" t="s">
        <v>0</v>
      </c>
      <c r="FO3" s="91" t="s">
        <v>1</v>
      </c>
      <c r="FP3" s="91" t="s">
        <v>27</v>
      </c>
      <c r="FQ3" s="91" t="s">
        <v>2</v>
      </c>
      <c r="FR3" s="91" t="s">
        <v>28</v>
      </c>
      <c r="FS3" s="91" t="s">
        <v>24</v>
      </c>
      <c r="FT3" s="91" t="s">
        <v>25</v>
      </c>
      <c r="FU3" s="91" t="s">
        <v>0</v>
      </c>
      <c r="FV3" s="91" t="s">
        <v>1</v>
      </c>
      <c r="FW3" s="91" t="s">
        <v>27</v>
      </c>
      <c r="FX3" s="91" t="s">
        <v>2</v>
      </c>
      <c r="FY3" s="91" t="s">
        <v>28</v>
      </c>
      <c r="FZ3" s="91" t="s">
        <v>24</v>
      </c>
      <c r="GA3" s="91" t="s">
        <v>25</v>
      </c>
      <c r="GB3" s="91" t="s">
        <v>0</v>
      </c>
      <c r="GC3" s="91" t="s">
        <v>1</v>
      </c>
      <c r="GD3" s="91" t="s">
        <v>27</v>
      </c>
      <c r="GE3" s="91" t="s">
        <v>2</v>
      </c>
      <c r="GF3" s="91" t="s">
        <v>28</v>
      </c>
      <c r="GG3" s="91" t="s">
        <v>24</v>
      </c>
      <c r="GH3" s="91" t="s">
        <v>25</v>
      </c>
      <c r="GI3" s="91" t="s">
        <v>0</v>
      </c>
      <c r="GJ3" s="91" t="s">
        <v>1</v>
      </c>
      <c r="GK3" s="91" t="s">
        <v>27</v>
      </c>
      <c r="GL3" s="91" t="s">
        <v>2</v>
      </c>
      <c r="GM3" s="91" t="s">
        <v>28</v>
      </c>
      <c r="GN3" s="91" t="s">
        <v>24</v>
      </c>
      <c r="GO3" s="91" t="s">
        <v>25</v>
      </c>
      <c r="GP3" s="91" t="s">
        <v>0</v>
      </c>
      <c r="GQ3" s="91" t="s">
        <v>1</v>
      </c>
      <c r="GR3" s="91" t="s">
        <v>27</v>
      </c>
      <c r="GS3" s="91" t="s">
        <v>2</v>
      </c>
      <c r="GT3" s="91" t="s">
        <v>28</v>
      </c>
      <c r="GU3" s="91" t="s">
        <v>24</v>
      </c>
      <c r="GV3" s="91" t="s">
        <v>25</v>
      </c>
      <c r="GW3" s="91" t="s">
        <v>0</v>
      </c>
      <c r="GX3" s="91" t="s">
        <v>1</v>
      </c>
      <c r="GY3" s="91" t="s">
        <v>27</v>
      </c>
      <c r="GZ3" s="91" t="s">
        <v>2</v>
      </c>
      <c r="HA3" s="91" t="s">
        <v>28</v>
      </c>
      <c r="HB3" s="91" t="s">
        <v>24</v>
      </c>
      <c r="HC3" s="91" t="s">
        <v>25</v>
      </c>
      <c r="HD3" s="91" t="s">
        <v>0</v>
      </c>
      <c r="HE3" s="91" t="s">
        <v>1</v>
      </c>
      <c r="HF3" s="91" t="s">
        <v>27</v>
      </c>
      <c r="HG3" s="91" t="s">
        <v>2</v>
      </c>
      <c r="HH3" s="91" t="s">
        <v>28</v>
      </c>
      <c r="HI3" s="91" t="s">
        <v>24</v>
      </c>
      <c r="HJ3" s="91" t="s">
        <v>25</v>
      </c>
      <c r="HK3" s="91" t="s">
        <v>0</v>
      </c>
      <c r="HL3" s="91" t="s">
        <v>1</v>
      </c>
      <c r="HM3" s="91" t="s">
        <v>27</v>
      </c>
      <c r="HN3" s="91" t="s">
        <v>2</v>
      </c>
      <c r="HO3" s="91" t="s">
        <v>28</v>
      </c>
      <c r="HP3" s="91" t="s">
        <v>24</v>
      </c>
      <c r="HQ3" s="91" t="s">
        <v>25</v>
      </c>
      <c r="HR3" s="91" t="s">
        <v>0</v>
      </c>
      <c r="HS3" s="91" t="s">
        <v>1</v>
      </c>
      <c r="HT3" s="91" t="s">
        <v>27</v>
      </c>
      <c r="HU3" s="91" t="s">
        <v>2</v>
      </c>
      <c r="HV3" s="91" t="s">
        <v>28</v>
      </c>
      <c r="HW3" s="91" t="s">
        <v>24</v>
      </c>
      <c r="HX3" s="91" t="s">
        <v>25</v>
      </c>
      <c r="HY3" s="91" t="s">
        <v>0</v>
      </c>
      <c r="HZ3" s="91" t="s">
        <v>1</v>
      </c>
      <c r="IA3" s="91" t="s">
        <v>27</v>
      </c>
      <c r="IB3" s="91" t="s">
        <v>2</v>
      </c>
      <c r="IC3" s="91" t="s">
        <v>28</v>
      </c>
      <c r="ID3" s="91" t="s">
        <v>24</v>
      </c>
      <c r="IE3" s="91" t="s">
        <v>25</v>
      </c>
      <c r="IF3" s="91" t="s">
        <v>0</v>
      </c>
      <c r="IG3" s="91" t="s">
        <v>1</v>
      </c>
      <c r="IH3" s="91" t="s">
        <v>27</v>
      </c>
      <c r="II3" s="91" t="s">
        <v>2</v>
      </c>
      <c r="IJ3" s="91" t="s">
        <v>28</v>
      </c>
      <c r="IK3" s="91" t="s">
        <v>24</v>
      </c>
      <c r="IL3" s="91" t="s">
        <v>25</v>
      </c>
      <c r="IM3" s="91" t="s">
        <v>0</v>
      </c>
      <c r="IN3" s="91" t="s">
        <v>1</v>
      </c>
      <c r="IO3" s="91" t="s">
        <v>27</v>
      </c>
      <c r="IP3" s="91" t="s">
        <v>2</v>
      </c>
      <c r="IQ3" s="91" t="s">
        <v>28</v>
      </c>
    </row>
    <row r="4" spans="1:251" ht="57" customHeight="1">
      <c r="A4" s="69" t="s">
        <v>64</v>
      </c>
      <c r="B4" s="71"/>
      <c r="C4" s="72" t="s">
        <v>3</v>
      </c>
      <c r="D4" s="72" t="s">
        <v>65</v>
      </c>
      <c r="E4" s="72" t="s">
        <v>4</v>
      </c>
      <c r="F4" s="72" t="s">
        <v>4</v>
      </c>
      <c r="G4" s="1"/>
      <c r="H4" s="1"/>
      <c r="I4" s="1">
        <v>2</v>
      </c>
      <c r="J4" s="1"/>
      <c r="K4" s="10">
        <f>J4*I4</f>
        <v>0</v>
      </c>
      <c r="L4" s="1"/>
      <c r="M4" s="1">
        <f>L4*I4</f>
        <v>0</v>
      </c>
      <c r="N4" s="2"/>
      <c r="O4" s="2"/>
      <c r="P4" s="2">
        <v>2</v>
      </c>
      <c r="Q4" s="2"/>
      <c r="R4" s="3">
        <f>Q4*P4</f>
        <v>0</v>
      </c>
      <c r="S4" s="2"/>
      <c r="T4" s="2">
        <f>S4*P4</f>
        <v>0</v>
      </c>
      <c r="U4" s="1"/>
      <c r="V4" s="1"/>
      <c r="W4" s="1">
        <v>2</v>
      </c>
      <c r="X4" s="1"/>
      <c r="Y4" s="10">
        <f>X4*W4</f>
        <v>0</v>
      </c>
      <c r="Z4" s="1"/>
      <c r="AA4" s="1">
        <f>Z4*W4</f>
        <v>0</v>
      </c>
      <c r="AB4" s="2"/>
      <c r="AC4" s="2"/>
      <c r="AD4" s="2">
        <v>2</v>
      </c>
      <c r="AE4" s="2"/>
      <c r="AF4" s="3">
        <f>AE4*AD4</f>
        <v>0</v>
      </c>
      <c r="AG4" s="2"/>
      <c r="AH4" s="2">
        <f>AG4*AD4</f>
        <v>0</v>
      </c>
      <c r="AI4" s="1"/>
      <c r="AJ4" s="1"/>
      <c r="AK4" s="1">
        <v>2</v>
      </c>
      <c r="AL4" s="1"/>
      <c r="AM4" s="10">
        <f>AL4*AK4</f>
        <v>0</v>
      </c>
      <c r="AN4" s="1"/>
      <c r="AO4" s="1">
        <f>AN4*AK4</f>
        <v>0</v>
      </c>
      <c r="AP4" s="2"/>
      <c r="AQ4" s="2"/>
      <c r="AR4" s="2">
        <v>2</v>
      </c>
      <c r="AS4" s="2"/>
      <c r="AT4" s="3">
        <f>AS4*AR4</f>
        <v>0</v>
      </c>
      <c r="AU4" s="2"/>
      <c r="AV4" s="2">
        <f>AU4*AR4</f>
        <v>0</v>
      </c>
      <c r="AW4" s="1"/>
      <c r="AX4" s="1"/>
      <c r="AY4" s="1">
        <v>2</v>
      </c>
      <c r="AZ4" s="1"/>
      <c r="BA4" s="10">
        <f>AZ4*AY4</f>
        <v>0</v>
      </c>
      <c r="BB4" s="1"/>
      <c r="BC4" s="1">
        <f>BB4*AY4</f>
        <v>0</v>
      </c>
      <c r="BD4" s="2"/>
      <c r="BE4" s="2"/>
      <c r="BF4" s="2">
        <v>2</v>
      </c>
      <c r="BG4" s="2"/>
      <c r="BH4" s="3">
        <f>BG4*BF4</f>
        <v>0</v>
      </c>
      <c r="BI4" s="2"/>
      <c r="BJ4" s="2">
        <f>BI4*BF4</f>
        <v>0</v>
      </c>
      <c r="BK4" s="1"/>
      <c r="BL4" s="1"/>
      <c r="BM4" s="1">
        <v>2</v>
      </c>
      <c r="BN4" s="1"/>
      <c r="BO4" s="10">
        <f>BN4*BM4</f>
        <v>0</v>
      </c>
      <c r="BP4" s="1"/>
      <c r="BQ4" s="1">
        <f>BP4*BM4</f>
        <v>0</v>
      </c>
      <c r="BR4" s="2"/>
      <c r="BS4" s="2"/>
      <c r="BT4" s="2">
        <v>2</v>
      </c>
      <c r="BU4" s="2"/>
      <c r="BV4" s="3">
        <f>BU4*BT4</f>
        <v>0</v>
      </c>
      <c r="BW4" s="2"/>
      <c r="BX4" s="2">
        <f>BW4*BT4</f>
        <v>0</v>
      </c>
      <c r="BY4" s="1"/>
      <c r="BZ4" s="1"/>
      <c r="CA4" s="1">
        <v>2</v>
      </c>
      <c r="CB4" s="1"/>
      <c r="CC4" s="10">
        <f>CB4*CA4</f>
        <v>0</v>
      </c>
      <c r="CD4" s="1"/>
      <c r="CE4" s="1">
        <f>CD4*CA4</f>
        <v>0</v>
      </c>
      <c r="CF4" s="2"/>
      <c r="CG4" s="2"/>
      <c r="CH4" s="2">
        <v>2</v>
      </c>
      <c r="CI4" s="2"/>
      <c r="CJ4" s="3">
        <f>CI4*CH4</f>
        <v>0</v>
      </c>
      <c r="CK4" s="2"/>
      <c r="CL4" s="2">
        <f>CK4*CH4</f>
        <v>0</v>
      </c>
      <c r="CM4" s="1"/>
      <c r="CN4" s="1"/>
      <c r="CO4" s="1">
        <v>2</v>
      </c>
      <c r="CP4" s="1"/>
      <c r="CQ4" s="10">
        <f>CP4*CO4</f>
        <v>0</v>
      </c>
      <c r="CR4" s="1"/>
      <c r="CS4" s="1">
        <f>CR4*CO4</f>
        <v>0</v>
      </c>
      <c r="CT4" s="2"/>
      <c r="CU4" s="2"/>
      <c r="CV4" s="2">
        <v>2</v>
      </c>
      <c r="CW4" s="2"/>
      <c r="CX4" s="3">
        <f>CW4*CV4</f>
        <v>0</v>
      </c>
      <c r="CY4" s="2"/>
      <c r="CZ4" s="2">
        <f>CY4*CV4</f>
        <v>0</v>
      </c>
      <c r="DA4" s="1"/>
      <c r="DB4" s="1"/>
      <c r="DC4" s="1">
        <v>2</v>
      </c>
      <c r="DD4" s="1"/>
      <c r="DE4" s="10">
        <f>DD4*DC4</f>
        <v>0</v>
      </c>
      <c r="DF4" s="1"/>
      <c r="DG4" s="1">
        <f>DF4*DC4</f>
        <v>0</v>
      </c>
      <c r="DH4" s="2"/>
      <c r="DI4" s="2"/>
      <c r="DJ4" s="2">
        <v>2</v>
      </c>
      <c r="DK4" s="2"/>
      <c r="DL4" s="3">
        <f>DK4*DJ4</f>
        <v>0</v>
      </c>
      <c r="DM4" s="2"/>
      <c r="DN4" s="2">
        <f>DM4*DJ4</f>
        <v>0</v>
      </c>
      <c r="DO4" s="1"/>
      <c r="DP4" s="1"/>
      <c r="DQ4" s="1">
        <v>2</v>
      </c>
      <c r="DR4" s="1"/>
      <c r="DS4" s="10">
        <f>DR4*DQ4</f>
        <v>0</v>
      </c>
      <c r="DT4" s="1"/>
      <c r="DU4" s="1">
        <f>DT4*DQ4</f>
        <v>0</v>
      </c>
      <c r="DV4" s="2"/>
      <c r="DW4" s="2"/>
      <c r="DX4" s="2">
        <v>2</v>
      </c>
      <c r="DY4" s="2"/>
      <c r="DZ4" s="3">
        <f>DY4*DX4</f>
        <v>0</v>
      </c>
      <c r="EA4" s="2"/>
      <c r="EB4" s="2">
        <f>EA4*DX4</f>
        <v>0</v>
      </c>
      <c r="EC4" s="1"/>
      <c r="ED4" s="1"/>
      <c r="EE4" s="1">
        <v>2</v>
      </c>
      <c r="EF4" s="1"/>
      <c r="EG4" s="10">
        <f>EF4*EE4</f>
        <v>0</v>
      </c>
      <c r="EH4" s="1"/>
      <c r="EI4" s="1">
        <f>EH4*EE4</f>
        <v>0</v>
      </c>
      <c r="EJ4" s="2"/>
      <c r="EK4" s="2"/>
      <c r="EL4" s="2">
        <v>2</v>
      </c>
      <c r="EM4" s="2"/>
      <c r="EN4" s="3">
        <f>EM4*EL4</f>
        <v>0</v>
      </c>
      <c r="EO4" s="2"/>
      <c r="EP4" s="2">
        <f>EO4*EL4</f>
        <v>0</v>
      </c>
      <c r="EQ4" s="72"/>
      <c r="ER4" s="72"/>
      <c r="ES4" s="72">
        <v>2</v>
      </c>
      <c r="ET4" s="72"/>
      <c r="EU4" s="73">
        <f>ET4*ES4</f>
        <v>0</v>
      </c>
      <c r="EV4" s="72"/>
      <c r="EW4" s="72">
        <f>EV4*ES4</f>
        <v>0</v>
      </c>
      <c r="EX4" s="68"/>
      <c r="EY4" s="68"/>
      <c r="EZ4" s="68">
        <v>2</v>
      </c>
      <c r="FA4" s="68"/>
      <c r="FB4" s="10">
        <f>FA4*EZ4</f>
        <v>0</v>
      </c>
      <c r="FC4" s="68"/>
      <c r="FD4" s="68">
        <f>FC4*EZ4</f>
        <v>0</v>
      </c>
      <c r="FE4" s="72"/>
      <c r="FF4" s="72"/>
      <c r="FG4" s="72">
        <v>2</v>
      </c>
      <c r="FH4" s="72"/>
      <c r="FI4" s="73">
        <f>FH4*FG4</f>
        <v>0</v>
      </c>
      <c r="FJ4" s="72"/>
      <c r="FK4" s="72">
        <f>FJ4*FG4</f>
        <v>0</v>
      </c>
      <c r="FL4" s="68"/>
      <c r="FM4" s="68"/>
      <c r="FN4" s="68">
        <v>2</v>
      </c>
      <c r="FO4" s="68"/>
      <c r="FP4" s="10">
        <f>FO4*FN4</f>
        <v>0</v>
      </c>
      <c r="FQ4" s="68"/>
      <c r="FR4" s="68">
        <f>FQ4*FN4</f>
        <v>0</v>
      </c>
      <c r="FS4" s="72"/>
      <c r="FT4" s="72"/>
      <c r="FU4" s="72">
        <v>2</v>
      </c>
      <c r="FV4" s="72"/>
      <c r="FW4" s="73">
        <f>FV4*FU4</f>
        <v>0</v>
      </c>
      <c r="FX4" s="72"/>
      <c r="FY4" s="72">
        <f>FX4*FU4</f>
        <v>0</v>
      </c>
      <c r="FZ4" s="72"/>
      <c r="GA4" s="72"/>
      <c r="GB4" s="72">
        <v>2</v>
      </c>
      <c r="GC4" s="72"/>
      <c r="GD4" s="73">
        <f>GC4*GB4</f>
        <v>0</v>
      </c>
      <c r="GE4" s="72"/>
      <c r="GF4" s="72">
        <f>GE4*GB4</f>
        <v>0</v>
      </c>
      <c r="GG4" s="68"/>
      <c r="GH4" s="68"/>
      <c r="GI4" s="68">
        <v>2</v>
      </c>
      <c r="GJ4" s="68"/>
      <c r="GK4" s="10">
        <f>GJ4*GI4</f>
        <v>0</v>
      </c>
      <c r="GL4" s="68"/>
      <c r="GM4" s="68">
        <f>GL4*GI4</f>
        <v>0</v>
      </c>
      <c r="GN4" s="72"/>
      <c r="GO4" s="72"/>
      <c r="GP4" s="72">
        <v>2</v>
      </c>
      <c r="GQ4" s="72"/>
      <c r="GR4" s="73">
        <f>GQ4*GP4</f>
        <v>0</v>
      </c>
      <c r="GS4" s="72"/>
      <c r="GT4" s="72">
        <f>GS4*GP4</f>
        <v>0</v>
      </c>
      <c r="GU4" s="68"/>
      <c r="GV4" s="68"/>
      <c r="GW4" s="68">
        <v>2</v>
      </c>
      <c r="GX4" s="68"/>
      <c r="GY4" s="10">
        <f>GX4*GW4</f>
        <v>0</v>
      </c>
      <c r="GZ4" s="68"/>
      <c r="HA4" s="68">
        <f>GZ4*GW4</f>
        <v>0</v>
      </c>
      <c r="HB4" s="72"/>
      <c r="HC4" s="72"/>
      <c r="HD4" s="72">
        <v>2</v>
      </c>
      <c r="HE4" s="72"/>
      <c r="HF4" s="73">
        <f>HE4*HD4</f>
        <v>0</v>
      </c>
      <c r="HG4" s="72"/>
      <c r="HH4" s="72">
        <f>HG4*HD4</f>
        <v>0</v>
      </c>
      <c r="HI4" s="72"/>
      <c r="HJ4" s="72"/>
      <c r="HK4" s="72">
        <v>2</v>
      </c>
      <c r="HL4" s="72"/>
      <c r="HM4" s="73">
        <f>HL4*HK4</f>
        <v>0</v>
      </c>
      <c r="HN4" s="72"/>
      <c r="HO4" s="72">
        <f>HN4*HK4</f>
        <v>0</v>
      </c>
      <c r="HP4" s="68"/>
      <c r="HQ4" s="68"/>
      <c r="HR4" s="68">
        <v>2</v>
      </c>
      <c r="HS4" s="68"/>
      <c r="HT4" s="10">
        <f>HS4*HR4</f>
        <v>0</v>
      </c>
      <c r="HU4" s="68"/>
      <c r="HV4" s="68">
        <f>HU4*HR4</f>
        <v>0</v>
      </c>
      <c r="HW4" s="72"/>
      <c r="HX4" s="72"/>
      <c r="HY4" s="72">
        <v>2</v>
      </c>
      <c r="HZ4" s="72"/>
      <c r="IA4" s="73">
        <f>HZ4*HY4</f>
        <v>0</v>
      </c>
      <c r="IB4" s="72"/>
      <c r="IC4" s="72">
        <f>IB4*HY4</f>
        <v>0</v>
      </c>
      <c r="ID4" s="68"/>
      <c r="IE4" s="68"/>
      <c r="IF4" s="68">
        <v>2</v>
      </c>
      <c r="IG4" s="68"/>
      <c r="IH4" s="10">
        <f>IG4*IF4</f>
        <v>0</v>
      </c>
      <c r="II4" s="68"/>
      <c r="IJ4" s="68">
        <f>II4*IF4</f>
        <v>0</v>
      </c>
      <c r="IK4" s="72"/>
      <c r="IL4" s="72"/>
      <c r="IM4" s="72">
        <v>2</v>
      </c>
      <c r="IN4" s="72"/>
      <c r="IO4" s="73">
        <f>IN4*IM4</f>
        <v>0</v>
      </c>
      <c r="IP4" s="72"/>
      <c r="IQ4" s="72">
        <f>IP4*IM4</f>
        <v>0</v>
      </c>
    </row>
    <row r="5" spans="1:251" ht="22.5" customHeight="1">
      <c r="A5" s="69" t="s">
        <v>66</v>
      </c>
      <c r="B5" s="71"/>
      <c r="C5" s="72" t="s">
        <v>67</v>
      </c>
      <c r="D5" s="72" t="s">
        <v>68</v>
      </c>
      <c r="E5" s="72" t="s">
        <v>69</v>
      </c>
      <c r="F5" s="72" t="s">
        <v>53</v>
      </c>
      <c r="G5" s="1"/>
      <c r="H5" s="1"/>
      <c r="I5" s="1">
        <v>2</v>
      </c>
      <c r="J5" s="1"/>
      <c r="K5" s="10">
        <f aca="true" t="shared" si="0" ref="K5:K13">J5*I5</f>
        <v>0</v>
      </c>
      <c r="L5" s="1"/>
      <c r="M5" s="1">
        <f aca="true" t="shared" si="1" ref="M5:M13">L5*I5</f>
        <v>0</v>
      </c>
      <c r="N5" s="2"/>
      <c r="O5" s="2"/>
      <c r="P5" s="2">
        <v>2</v>
      </c>
      <c r="Q5" s="2"/>
      <c r="R5" s="3">
        <f aca="true" t="shared" si="2" ref="R5:R13">Q5*P5</f>
        <v>0</v>
      </c>
      <c r="S5" s="2"/>
      <c r="T5" s="2">
        <f aca="true" t="shared" si="3" ref="T5:T13">S5*P5</f>
        <v>0</v>
      </c>
      <c r="U5" s="1"/>
      <c r="V5" s="1"/>
      <c r="W5" s="1">
        <v>2</v>
      </c>
      <c r="X5" s="1"/>
      <c r="Y5" s="10">
        <f aca="true" t="shared" si="4" ref="Y5:Y13">X5*W5</f>
        <v>0</v>
      </c>
      <c r="Z5" s="1"/>
      <c r="AA5" s="1">
        <f aca="true" t="shared" si="5" ref="AA5:AA13">Z5*W5</f>
        <v>0</v>
      </c>
      <c r="AB5" s="2"/>
      <c r="AC5" s="2"/>
      <c r="AD5" s="2">
        <v>2</v>
      </c>
      <c r="AE5" s="2"/>
      <c r="AF5" s="3">
        <f aca="true" t="shared" si="6" ref="AF5:AF13">AE5*AD5</f>
        <v>0</v>
      </c>
      <c r="AG5" s="2"/>
      <c r="AH5" s="2">
        <f aca="true" t="shared" si="7" ref="AH5:AH13">AG5*AD5</f>
        <v>0</v>
      </c>
      <c r="AI5" s="1"/>
      <c r="AJ5" s="1"/>
      <c r="AK5" s="1">
        <v>2</v>
      </c>
      <c r="AL5" s="1"/>
      <c r="AM5" s="10">
        <f aca="true" t="shared" si="8" ref="AM5:AM13">AL5*AK5</f>
        <v>0</v>
      </c>
      <c r="AN5" s="1"/>
      <c r="AO5" s="1">
        <f aca="true" t="shared" si="9" ref="AO5:AO13">AN5*AK5</f>
        <v>0</v>
      </c>
      <c r="AP5" s="2"/>
      <c r="AQ5" s="2"/>
      <c r="AR5" s="2">
        <v>2</v>
      </c>
      <c r="AS5" s="2"/>
      <c r="AT5" s="3">
        <f aca="true" t="shared" si="10" ref="AT5:AT13">AS5*AR5</f>
        <v>0</v>
      </c>
      <c r="AU5" s="2"/>
      <c r="AV5" s="2">
        <f aca="true" t="shared" si="11" ref="AV5:AV13">AU5*AR5</f>
        <v>0</v>
      </c>
      <c r="AW5" s="1"/>
      <c r="AX5" s="1"/>
      <c r="AY5" s="1">
        <v>2</v>
      </c>
      <c r="AZ5" s="1"/>
      <c r="BA5" s="10">
        <f aca="true" t="shared" si="12" ref="BA5:BA13">AZ5*AY5</f>
        <v>0</v>
      </c>
      <c r="BB5" s="1"/>
      <c r="BC5" s="1">
        <f aca="true" t="shared" si="13" ref="BC5:BC13">BB5*AY5</f>
        <v>0</v>
      </c>
      <c r="BD5" s="2"/>
      <c r="BE5" s="2"/>
      <c r="BF5" s="2">
        <v>2</v>
      </c>
      <c r="BG5" s="2"/>
      <c r="BH5" s="3">
        <f aca="true" t="shared" si="14" ref="BH5:BH13">BG5*BF5</f>
        <v>0</v>
      </c>
      <c r="BI5" s="2"/>
      <c r="BJ5" s="2">
        <f aca="true" t="shared" si="15" ref="BJ5:BJ13">BI5*BF5</f>
        <v>0</v>
      </c>
      <c r="BK5" s="1"/>
      <c r="BL5" s="1"/>
      <c r="BM5" s="1">
        <v>2</v>
      </c>
      <c r="BN5" s="1"/>
      <c r="BO5" s="10">
        <f aca="true" t="shared" si="16" ref="BO5:BO13">BN5*BM5</f>
        <v>0</v>
      </c>
      <c r="BP5" s="1"/>
      <c r="BQ5" s="1">
        <f aca="true" t="shared" si="17" ref="BQ5:BQ13">BP5*BM5</f>
        <v>0</v>
      </c>
      <c r="BR5" s="2"/>
      <c r="BS5" s="2"/>
      <c r="BT5" s="2">
        <v>2</v>
      </c>
      <c r="BU5" s="2"/>
      <c r="BV5" s="3">
        <f aca="true" t="shared" si="18" ref="BV5:BV13">BU5*BT5</f>
        <v>0</v>
      </c>
      <c r="BW5" s="2"/>
      <c r="BX5" s="2">
        <f aca="true" t="shared" si="19" ref="BX5:BX13">BW5*BT5</f>
        <v>0</v>
      </c>
      <c r="BY5" s="1"/>
      <c r="BZ5" s="1"/>
      <c r="CA5" s="1">
        <v>2</v>
      </c>
      <c r="CB5" s="1"/>
      <c r="CC5" s="10">
        <f aca="true" t="shared" si="20" ref="CC5:CC13">CB5*CA5</f>
        <v>0</v>
      </c>
      <c r="CD5" s="1"/>
      <c r="CE5" s="1">
        <f aca="true" t="shared" si="21" ref="CE5:CE13">CD5*CA5</f>
        <v>0</v>
      </c>
      <c r="CF5" s="2"/>
      <c r="CG5" s="2"/>
      <c r="CH5" s="2">
        <v>2</v>
      </c>
      <c r="CI5" s="2"/>
      <c r="CJ5" s="3">
        <f aca="true" t="shared" si="22" ref="CJ5:CJ13">CI5*CH5</f>
        <v>0</v>
      </c>
      <c r="CK5" s="2"/>
      <c r="CL5" s="2">
        <f aca="true" t="shared" si="23" ref="CL5:CL13">CK5*CH5</f>
        <v>0</v>
      </c>
      <c r="CM5" s="1"/>
      <c r="CN5" s="1"/>
      <c r="CO5" s="1">
        <v>2</v>
      </c>
      <c r="CP5" s="1"/>
      <c r="CQ5" s="10">
        <f aca="true" t="shared" si="24" ref="CQ5:CQ13">CP5*CO5</f>
        <v>0</v>
      </c>
      <c r="CR5" s="1"/>
      <c r="CS5" s="1">
        <f aca="true" t="shared" si="25" ref="CS5:CS13">CR5*CO5</f>
        <v>0</v>
      </c>
      <c r="CT5" s="2"/>
      <c r="CU5" s="2"/>
      <c r="CV5" s="2">
        <v>2</v>
      </c>
      <c r="CW5" s="2"/>
      <c r="CX5" s="3">
        <f aca="true" t="shared" si="26" ref="CX5:CX13">CW5*CV5</f>
        <v>0</v>
      </c>
      <c r="CY5" s="2"/>
      <c r="CZ5" s="2">
        <f aca="true" t="shared" si="27" ref="CZ5:CZ13">CY5*CV5</f>
        <v>0</v>
      </c>
      <c r="DA5" s="1"/>
      <c r="DB5" s="1"/>
      <c r="DC5" s="1">
        <v>2</v>
      </c>
      <c r="DD5" s="1"/>
      <c r="DE5" s="10">
        <f aca="true" t="shared" si="28" ref="DE5:DE13">DD5*DC5</f>
        <v>0</v>
      </c>
      <c r="DF5" s="1"/>
      <c r="DG5" s="1">
        <f aca="true" t="shared" si="29" ref="DG5:DG13">DF5*DC5</f>
        <v>0</v>
      </c>
      <c r="DH5" s="2"/>
      <c r="DI5" s="2"/>
      <c r="DJ5" s="2">
        <v>2</v>
      </c>
      <c r="DK5" s="2"/>
      <c r="DL5" s="3">
        <f aca="true" t="shared" si="30" ref="DL5:DL13">DK5*DJ5</f>
        <v>0</v>
      </c>
      <c r="DM5" s="2"/>
      <c r="DN5" s="2">
        <f aca="true" t="shared" si="31" ref="DN5:DN13">DM5*DJ5</f>
        <v>0</v>
      </c>
      <c r="DO5" s="1"/>
      <c r="DP5" s="1"/>
      <c r="DQ5" s="1">
        <v>2</v>
      </c>
      <c r="DR5" s="1"/>
      <c r="DS5" s="10">
        <f aca="true" t="shared" si="32" ref="DS5:DS13">DR5*DQ5</f>
        <v>0</v>
      </c>
      <c r="DT5" s="1"/>
      <c r="DU5" s="1">
        <f aca="true" t="shared" si="33" ref="DU5:DU13">DT5*DQ5</f>
        <v>0</v>
      </c>
      <c r="DV5" s="2"/>
      <c r="DW5" s="2"/>
      <c r="DX5" s="2">
        <v>2</v>
      </c>
      <c r="DY5" s="2"/>
      <c r="DZ5" s="3">
        <f aca="true" t="shared" si="34" ref="DZ5:DZ13">DY5*DX5</f>
        <v>0</v>
      </c>
      <c r="EA5" s="2"/>
      <c r="EB5" s="2">
        <f aca="true" t="shared" si="35" ref="EB5:EB13">EA5*DX5</f>
        <v>0</v>
      </c>
      <c r="EC5" s="1"/>
      <c r="ED5" s="1"/>
      <c r="EE5" s="1">
        <v>2</v>
      </c>
      <c r="EF5" s="1"/>
      <c r="EG5" s="10">
        <f aca="true" t="shared" si="36" ref="EG5:EG13">EF5*EE5</f>
        <v>0</v>
      </c>
      <c r="EH5" s="1"/>
      <c r="EI5" s="1">
        <f aca="true" t="shared" si="37" ref="EI5:EI13">EH5*EE5</f>
        <v>0</v>
      </c>
      <c r="EJ5" s="2"/>
      <c r="EK5" s="2"/>
      <c r="EL5" s="2">
        <v>2</v>
      </c>
      <c r="EM5" s="2"/>
      <c r="EN5" s="3">
        <f aca="true" t="shared" si="38" ref="EN5:EN13">EM5*EL5</f>
        <v>0</v>
      </c>
      <c r="EO5" s="2"/>
      <c r="EP5" s="2">
        <f aca="true" t="shared" si="39" ref="EP5:EP13">EO5*EL5</f>
        <v>0</v>
      </c>
      <c r="EQ5" s="72"/>
      <c r="ER5" s="72"/>
      <c r="ES5" s="72">
        <v>2</v>
      </c>
      <c r="ET5" s="72"/>
      <c r="EU5" s="73">
        <f aca="true" t="shared" si="40" ref="EU5:EU13">ET5*ES5</f>
        <v>0</v>
      </c>
      <c r="EV5" s="72"/>
      <c r="EW5" s="72">
        <f aca="true" t="shared" si="41" ref="EW5:EW13">EV5*ES5</f>
        <v>0</v>
      </c>
      <c r="EX5" s="68"/>
      <c r="EY5" s="68"/>
      <c r="EZ5" s="68">
        <v>2</v>
      </c>
      <c r="FA5" s="68"/>
      <c r="FB5" s="10">
        <f aca="true" t="shared" si="42" ref="FB5:FB13">FA5*EZ5</f>
        <v>0</v>
      </c>
      <c r="FC5" s="68"/>
      <c r="FD5" s="68">
        <f aca="true" t="shared" si="43" ref="FD5:FD13">FC5*EZ5</f>
        <v>0</v>
      </c>
      <c r="FE5" s="72"/>
      <c r="FF5" s="72"/>
      <c r="FG5" s="72">
        <v>2</v>
      </c>
      <c r="FH5" s="72"/>
      <c r="FI5" s="73">
        <f aca="true" t="shared" si="44" ref="FI5:FI13">FH5*FG5</f>
        <v>0</v>
      </c>
      <c r="FJ5" s="72"/>
      <c r="FK5" s="72">
        <f aca="true" t="shared" si="45" ref="FK5:FK13">FJ5*FG5</f>
        <v>0</v>
      </c>
      <c r="FL5" s="68"/>
      <c r="FM5" s="68"/>
      <c r="FN5" s="68">
        <v>2</v>
      </c>
      <c r="FO5" s="68"/>
      <c r="FP5" s="10">
        <f aca="true" t="shared" si="46" ref="FP5:FP13">FO5*FN5</f>
        <v>0</v>
      </c>
      <c r="FQ5" s="68"/>
      <c r="FR5" s="68">
        <f aca="true" t="shared" si="47" ref="FR5:FR13">FQ5*FN5</f>
        <v>0</v>
      </c>
      <c r="FS5" s="72"/>
      <c r="FT5" s="72"/>
      <c r="FU5" s="72">
        <v>2</v>
      </c>
      <c r="FV5" s="72"/>
      <c r="FW5" s="73">
        <f aca="true" t="shared" si="48" ref="FW5:FW13">FV5*FU5</f>
        <v>0</v>
      </c>
      <c r="FX5" s="72"/>
      <c r="FY5" s="72">
        <f aca="true" t="shared" si="49" ref="FY5:FY13">FX5*FU5</f>
        <v>0</v>
      </c>
      <c r="FZ5" s="72"/>
      <c r="GA5" s="72"/>
      <c r="GB5" s="72">
        <v>2</v>
      </c>
      <c r="GC5" s="72"/>
      <c r="GD5" s="73">
        <f aca="true" t="shared" si="50" ref="GD5:GD13">GC5*GB5</f>
        <v>0</v>
      </c>
      <c r="GE5" s="72"/>
      <c r="GF5" s="72">
        <f aca="true" t="shared" si="51" ref="GF5:GF13">GE5*GB5</f>
        <v>0</v>
      </c>
      <c r="GG5" s="68"/>
      <c r="GH5" s="68"/>
      <c r="GI5" s="68">
        <v>2</v>
      </c>
      <c r="GJ5" s="68"/>
      <c r="GK5" s="10">
        <f aca="true" t="shared" si="52" ref="GK5:GK13">GJ5*GI5</f>
        <v>0</v>
      </c>
      <c r="GL5" s="68"/>
      <c r="GM5" s="68">
        <f aca="true" t="shared" si="53" ref="GM5:GM13">GL5*GI5</f>
        <v>0</v>
      </c>
      <c r="GN5" s="72"/>
      <c r="GO5" s="72"/>
      <c r="GP5" s="72">
        <v>2</v>
      </c>
      <c r="GQ5" s="72"/>
      <c r="GR5" s="73">
        <f aca="true" t="shared" si="54" ref="GR5:GR13">GQ5*GP5</f>
        <v>0</v>
      </c>
      <c r="GS5" s="72"/>
      <c r="GT5" s="72">
        <f aca="true" t="shared" si="55" ref="GT5:GT13">GS5*GP5</f>
        <v>0</v>
      </c>
      <c r="GU5" s="68"/>
      <c r="GV5" s="68"/>
      <c r="GW5" s="68">
        <v>2</v>
      </c>
      <c r="GX5" s="68"/>
      <c r="GY5" s="10">
        <f aca="true" t="shared" si="56" ref="GY5:GY13">GX5*GW5</f>
        <v>0</v>
      </c>
      <c r="GZ5" s="68"/>
      <c r="HA5" s="68">
        <f aca="true" t="shared" si="57" ref="HA5:HA13">GZ5*GW5</f>
        <v>0</v>
      </c>
      <c r="HB5" s="72"/>
      <c r="HC5" s="72"/>
      <c r="HD5" s="72">
        <v>2</v>
      </c>
      <c r="HE5" s="72"/>
      <c r="HF5" s="73">
        <f aca="true" t="shared" si="58" ref="HF5:HF13">HE5*HD5</f>
        <v>0</v>
      </c>
      <c r="HG5" s="72"/>
      <c r="HH5" s="72">
        <f aca="true" t="shared" si="59" ref="HH5:HH13">HG5*HD5</f>
        <v>0</v>
      </c>
      <c r="HI5" s="72"/>
      <c r="HJ5" s="72"/>
      <c r="HK5" s="72">
        <v>2</v>
      </c>
      <c r="HL5" s="72"/>
      <c r="HM5" s="73">
        <f aca="true" t="shared" si="60" ref="HM5:HM13">HL5*HK5</f>
        <v>0</v>
      </c>
      <c r="HN5" s="72"/>
      <c r="HO5" s="72">
        <f aca="true" t="shared" si="61" ref="HO5:HO13">HN5*HK5</f>
        <v>0</v>
      </c>
      <c r="HP5" s="68"/>
      <c r="HQ5" s="68"/>
      <c r="HR5" s="68">
        <v>2</v>
      </c>
      <c r="HS5" s="68"/>
      <c r="HT5" s="10">
        <f aca="true" t="shared" si="62" ref="HT5:HT13">HS5*HR5</f>
        <v>0</v>
      </c>
      <c r="HU5" s="68"/>
      <c r="HV5" s="68">
        <f aca="true" t="shared" si="63" ref="HV5:HV13">HU5*HR5</f>
        <v>0</v>
      </c>
      <c r="HW5" s="72"/>
      <c r="HX5" s="72"/>
      <c r="HY5" s="72">
        <v>2</v>
      </c>
      <c r="HZ5" s="72"/>
      <c r="IA5" s="73">
        <f aca="true" t="shared" si="64" ref="IA5:IA13">HZ5*HY5</f>
        <v>0</v>
      </c>
      <c r="IB5" s="72"/>
      <c r="IC5" s="72">
        <f aca="true" t="shared" si="65" ref="IC5:IC13">IB5*HY5</f>
        <v>0</v>
      </c>
      <c r="ID5" s="68"/>
      <c r="IE5" s="68"/>
      <c r="IF5" s="68">
        <v>2</v>
      </c>
      <c r="IG5" s="68"/>
      <c r="IH5" s="10">
        <f aca="true" t="shared" si="66" ref="IH5:IH13">IG5*IF5</f>
        <v>0</v>
      </c>
      <c r="II5" s="68"/>
      <c r="IJ5" s="68">
        <f aca="true" t="shared" si="67" ref="IJ5:IJ13">II5*IF5</f>
        <v>0</v>
      </c>
      <c r="IK5" s="72"/>
      <c r="IL5" s="72"/>
      <c r="IM5" s="72">
        <v>2</v>
      </c>
      <c r="IN5" s="72"/>
      <c r="IO5" s="73">
        <f aca="true" t="shared" si="68" ref="IO5:IO13">IN5*IM5</f>
        <v>0</v>
      </c>
      <c r="IP5" s="72"/>
      <c r="IQ5" s="72">
        <f aca="true" t="shared" si="69" ref="IQ5:IQ13">IP5*IM5</f>
        <v>0</v>
      </c>
    </row>
    <row r="6" spans="1:251" ht="38.25" customHeight="1">
      <c r="A6" s="69" t="s">
        <v>70</v>
      </c>
      <c r="B6" s="71"/>
      <c r="C6" s="72" t="s">
        <v>5</v>
      </c>
      <c r="D6" s="72" t="s">
        <v>71</v>
      </c>
      <c r="E6" s="72" t="s">
        <v>6</v>
      </c>
      <c r="F6" s="72" t="s">
        <v>6</v>
      </c>
      <c r="G6" s="1"/>
      <c r="H6" s="1"/>
      <c r="I6" s="1">
        <v>2</v>
      </c>
      <c r="J6" s="1"/>
      <c r="K6" s="10">
        <f t="shared" si="0"/>
        <v>0</v>
      </c>
      <c r="L6" s="1"/>
      <c r="M6" s="1">
        <f t="shared" si="1"/>
        <v>0</v>
      </c>
      <c r="N6" s="2"/>
      <c r="O6" s="2"/>
      <c r="P6" s="2">
        <v>2</v>
      </c>
      <c r="Q6" s="2"/>
      <c r="R6" s="3">
        <f t="shared" si="2"/>
        <v>0</v>
      </c>
      <c r="S6" s="2"/>
      <c r="T6" s="2">
        <f t="shared" si="3"/>
        <v>0</v>
      </c>
      <c r="U6" s="1"/>
      <c r="V6" s="1"/>
      <c r="W6" s="1">
        <v>2</v>
      </c>
      <c r="X6" s="1"/>
      <c r="Y6" s="10">
        <f t="shared" si="4"/>
        <v>0</v>
      </c>
      <c r="Z6" s="1"/>
      <c r="AA6" s="1">
        <f t="shared" si="5"/>
        <v>0</v>
      </c>
      <c r="AB6" s="2"/>
      <c r="AC6" s="2"/>
      <c r="AD6" s="2">
        <v>2</v>
      </c>
      <c r="AE6" s="2"/>
      <c r="AF6" s="3">
        <f t="shared" si="6"/>
        <v>0</v>
      </c>
      <c r="AG6" s="2"/>
      <c r="AH6" s="2">
        <f t="shared" si="7"/>
        <v>0</v>
      </c>
      <c r="AI6" s="1"/>
      <c r="AJ6" s="1"/>
      <c r="AK6" s="1">
        <v>2</v>
      </c>
      <c r="AL6" s="1"/>
      <c r="AM6" s="10">
        <f t="shared" si="8"/>
        <v>0</v>
      </c>
      <c r="AN6" s="1"/>
      <c r="AO6" s="1">
        <f t="shared" si="9"/>
        <v>0</v>
      </c>
      <c r="AP6" s="2"/>
      <c r="AQ6" s="2"/>
      <c r="AR6" s="2">
        <v>2</v>
      </c>
      <c r="AS6" s="2"/>
      <c r="AT6" s="3">
        <f t="shared" si="10"/>
        <v>0</v>
      </c>
      <c r="AU6" s="2"/>
      <c r="AV6" s="2">
        <f t="shared" si="11"/>
        <v>0</v>
      </c>
      <c r="AW6" s="1"/>
      <c r="AX6" s="1"/>
      <c r="AY6" s="1">
        <v>2</v>
      </c>
      <c r="AZ6" s="1"/>
      <c r="BA6" s="10">
        <f t="shared" si="12"/>
        <v>0</v>
      </c>
      <c r="BB6" s="1"/>
      <c r="BC6" s="1">
        <f t="shared" si="13"/>
        <v>0</v>
      </c>
      <c r="BD6" s="2"/>
      <c r="BE6" s="2"/>
      <c r="BF6" s="2">
        <v>2</v>
      </c>
      <c r="BG6" s="2"/>
      <c r="BH6" s="3">
        <f t="shared" si="14"/>
        <v>0</v>
      </c>
      <c r="BI6" s="2"/>
      <c r="BJ6" s="2">
        <f t="shared" si="15"/>
        <v>0</v>
      </c>
      <c r="BK6" s="1"/>
      <c r="BL6" s="1"/>
      <c r="BM6" s="1">
        <v>2</v>
      </c>
      <c r="BN6" s="1"/>
      <c r="BO6" s="10">
        <f t="shared" si="16"/>
        <v>0</v>
      </c>
      <c r="BP6" s="1"/>
      <c r="BQ6" s="1">
        <f t="shared" si="17"/>
        <v>0</v>
      </c>
      <c r="BR6" s="2"/>
      <c r="BS6" s="2"/>
      <c r="BT6" s="2">
        <v>2</v>
      </c>
      <c r="BU6" s="2"/>
      <c r="BV6" s="3">
        <f t="shared" si="18"/>
        <v>0</v>
      </c>
      <c r="BW6" s="2"/>
      <c r="BX6" s="2">
        <f t="shared" si="19"/>
        <v>0</v>
      </c>
      <c r="BY6" s="1"/>
      <c r="BZ6" s="1"/>
      <c r="CA6" s="1">
        <v>2</v>
      </c>
      <c r="CB6" s="1"/>
      <c r="CC6" s="10">
        <f t="shared" si="20"/>
        <v>0</v>
      </c>
      <c r="CD6" s="1"/>
      <c r="CE6" s="1">
        <f t="shared" si="21"/>
        <v>0</v>
      </c>
      <c r="CF6" s="2"/>
      <c r="CG6" s="2"/>
      <c r="CH6" s="2">
        <v>2</v>
      </c>
      <c r="CI6" s="2"/>
      <c r="CJ6" s="3">
        <f t="shared" si="22"/>
        <v>0</v>
      </c>
      <c r="CK6" s="2"/>
      <c r="CL6" s="2">
        <f t="shared" si="23"/>
        <v>0</v>
      </c>
      <c r="CM6" s="1"/>
      <c r="CN6" s="1"/>
      <c r="CO6" s="1">
        <v>2</v>
      </c>
      <c r="CP6" s="1"/>
      <c r="CQ6" s="10">
        <f t="shared" si="24"/>
        <v>0</v>
      </c>
      <c r="CR6" s="1"/>
      <c r="CS6" s="1">
        <f t="shared" si="25"/>
        <v>0</v>
      </c>
      <c r="CT6" s="2"/>
      <c r="CU6" s="2"/>
      <c r="CV6" s="2">
        <v>2</v>
      </c>
      <c r="CW6" s="2"/>
      <c r="CX6" s="3">
        <f t="shared" si="26"/>
        <v>0</v>
      </c>
      <c r="CY6" s="2"/>
      <c r="CZ6" s="2">
        <f t="shared" si="27"/>
        <v>0</v>
      </c>
      <c r="DA6" s="1"/>
      <c r="DB6" s="1"/>
      <c r="DC6" s="1">
        <v>2</v>
      </c>
      <c r="DD6" s="1"/>
      <c r="DE6" s="10">
        <f t="shared" si="28"/>
        <v>0</v>
      </c>
      <c r="DF6" s="1"/>
      <c r="DG6" s="1">
        <f t="shared" si="29"/>
        <v>0</v>
      </c>
      <c r="DH6" s="2"/>
      <c r="DI6" s="2"/>
      <c r="DJ6" s="2">
        <v>2</v>
      </c>
      <c r="DK6" s="2"/>
      <c r="DL6" s="3">
        <f t="shared" si="30"/>
        <v>0</v>
      </c>
      <c r="DM6" s="2"/>
      <c r="DN6" s="2">
        <f t="shared" si="31"/>
        <v>0</v>
      </c>
      <c r="DO6" s="1"/>
      <c r="DP6" s="1"/>
      <c r="DQ6" s="1">
        <v>2</v>
      </c>
      <c r="DR6" s="1"/>
      <c r="DS6" s="10">
        <f t="shared" si="32"/>
        <v>0</v>
      </c>
      <c r="DT6" s="1"/>
      <c r="DU6" s="1">
        <f t="shared" si="33"/>
        <v>0</v>
      </c>
      <c r="DV6" s="2"/>
      <c r="DW6" s="2"/>
      <c r="DX6" s="2">
        <v>2</v>
      </c>
      <c r="DY6" s="2"/>
      <c r="DZ6" s="3">
        <f t="shared" si="34"/>
        <v>0</v>
      </c>
      <c r="EA6" s="2"/>
      <c r="EB6" s="2">
        <f t="shared" si="35"/>
        <v>0</v>
      </c>
      <c r="EC6" s="1"/>
      <c r="ED6" s="1"/>
      <c r="EE6" s="1">
        <v>2</v>
      </c>
      <c r="EF6" s="1"/>
      <c r="EG6" s="10">
        <f t="shared" si="36"/>
        <v>0</v>
      </c>
      <c r="EH6" s="1"/>
      <c r="EI6" s="1">
        <f t="shared" si="37"/>
        <v>0</v>
      </c>
      <c r="EJ6" s="2"/>
      <c r="EK6" s="2"/>
      <c r="EL6" s="2">
        <v>2</v>
      </c>
      <c r="EM6" s="2"/>
      <c r="EN6" s="3">
        <f t="shared" si="38"/>
        <v>0</v>
      </c>
      <c r="EO6" s="2"/>
      <c r="EP6" s="2">
        <f t="shared" si="39"/>
        <v>0</v>
      </c>
      <c r="EQ6" s="72"/>
      <c r="ER6" s="72"/>
      <c r="ES6" s="72">
        <v>2</v>
      </c>
      <c r="ET6" s="72"/>
      <c r="EU6" s="73">
        <f t="shared" si="40"/>
        <v>0</v>
      </c>
      <c r="EV6" s="72"/>
      <c r="EW6" s="72">
        <f t="shared" si="41"/>
        <v>0</v>
      </c>
      <c r="EX6" s="68"/>
      <c r="EY6" s="68"/>
      <c r="EZ6" s="68">
        <v>2</v>
      </c>
      <c r="FA6" s="68"/>
      <c r="FB6" s="10">
        <f t="shared" si="42"/>
        <v>0</v>
      </c>
      <c r="FC6" s="68"/>
      <c r="FD6" s="68">
        <f t="shared" si="43"/>
        <v>0</v>
      </c>
      <c r="FE6" s="72"/>
      <c r="FF6" s="72"/>
      <c r="FG6" s="72">
        <v>2</v>
      </c>
      <c r="FH6" s="72"/>
      <c r="FI6" s="73">
        <f t="shared" si="44"/>
        <v>0</v>
      </c>
      <c r="FJ6" s="72"/>
      <c r="FK6" s="72">
        <f t="shared" si="45"/>
        <v>0</v>
      </c>
      <c r="FL6" s="68"/>
      <c r="FM6" s="68"/>
      <c r="FN6" s="68">
        <v>2</v>
      </c>
      <c r="FO6" s="68"/>
      <c r="FP6" s="10">
        <f t="shared" si="46"/>
        <v>0</v>
      </c>
      <c r="FQ6" s="68"/>
      <c r="FR6" s="68">
        <f t="shared" si="47"/>
        <v>0</v>
      </c>
      <c r="FS6" s="72"/>
      <c r="FT6" s="72"/>
      <c r="FU6" s="72">
        <v>2</v>
      </c>
      <c r="FV6" s="72"/>
      <c r="FW6" s="73">
        <f t="shared" si="48"/>
        <v>0</v>
      </c>
      <c r="FX6" s="72"/>
      <c r="FY6" s="72">
        <f t="shared" si="49"/>
        <v>0</v>
      </c>
      <c r="FZ6" s="72"/>
      <c r="GA6" s="72"/>
      <c r="GB6" s="72">
        <v>2</v>
      </c>
      <c r="GC6" s="72"/>
      <c r="GD6" s="73">
        <f t="shared" si="50"/>
        <v>0</v>
      </c>
      <c r="GE6" s="72"/>
      <c r="GF6" s="72">
        <f t="shared" si="51"/>
        <v>0</v>
      </c>
      <c r="GG6" s="68"/>
      <c r="GH6" s="68"/>
      <c r="GI6" s="68">
        <v>2</v>
      </c>
      <c r="GJ6" s="68"/>
      <c r="GK6" s="10">
        <f t="shared" si="52"/>
        <v>0</v>
      </c>
      <c r="GL6" s="68"/>
      <c r="GM6" s="68">
        <f t="shared" si="53"/>
        <v>0</v>
      </c>
      <c r="GN6" s="72"/>
      <c r="GO6" s="72"/>
      <c r="GP6" s="72">
        <v>2</v>
      </c>
      <c r="GQ6" s="72"/>
      <c r="GR6" s="73">
        <f t="shared" si="54"/>
        <v>0</v>
      </c>
      <c r="GS6" s="72"/>
      <c r="GT6" s="72">
        <f t="shared" si="55"/>
        <v>0</v>
      </c>
      <c r="GU6" s="68"/>
      <c r="GV6" s="68"/>
      <c r="GW6" s="68">
        <v>2</v>
      </c>
      <c r="GX6" s="68"/>
      <c r="GY6" s="10">
        <f t="shared" si="56"/>
        <v>0</v>
      </c>
      <c r="GZ6" s="68"/>
      <c r="HA6" s="68">
        <f t="shared" si="57"/>
        <v>0</v>
      </c>
      <c r="HB6" s="72"/>
      <c r="HC6" s="72"/>
      <c r="HD6" s="72">
        <v>2</v>
      </c>
      <c r="HE6" s="72"/>
      <c r="HF6" s="73">
        <f t="shared" si="58"/>
        <v>0</v>
      </c>
      <c r="HG6" s="72"/>
      <c r="HH6" s="72">
        <f t="shared" si="59"/>
        <v>0</v>
      </c>
      <c r="HI6" s="72"/>
      <c r="HJ6" s="72"/>
      <c r="HK6" s="72">
        <v>2</v>
      </c>
      <c r="HL6" s="72"/>
      <c r="HM6" s="73">
        <f t="shared" si="60"/>
        <v>0</v>
      </c>
      <c r="HN6" s="72"/>
      <c r="HO6" s="72">
        <f t="shared" si="61"/>
        <v>0</v>
      </c>
      <c r="HP6" s="68"/>
      <c r="HQ6" s="68"/>
      <c r="HR6" s="68">
        <v>2</v>
      </c>
      <c r="HS6" s="68"/>
      <c r="HT6" s="10">
        <f t="shared" si="62"/>
        <v>0</v>
      </c>
      <c r="HU6" s="68"/>
      <c r="HV6" s="68">
        <f t="shared" si="63"/>
        <v>0</v>
      </c>
      <c r="HW6" s="72"/>
      <c r="HX6" s="72"/>
      <c r="HY6" s="72">
        <v>2</v>
      </c>
      <c r="HZ6" s="72"/>
      <c r="IA6" s="73">
        <f t="shared" si="64"/>
        <v>0</v>
      </c>
      <c r="IB6" s="72"/>
      <c r="IC6" s="72">
        <f t="shared" si="65"/>
        <v>0</v>
      </c>
      <c r="ID6" s="68"/>
      <c r="IE6" s="68"/>
      <c r="IF6" s="68">
        <v>2</v>
      </c>
      <c r="IG6" s="68"/>
      <c r="IH6" s="10">
        <f t="shared" si="66"/>
        <v>0</v>
      </c>
      <c r="II6" s="68"/>
      <c r="IJ6" s="68">
        <f t="shared" si="67"/>
        <v>0</v>
      </c>
      <c r="IK6" s="72"/>
      <c r="IL6" s="72"/>
      <c r="IM6" s="72">
        <v>2</v>
      </c>
      <c r="IN6" s="72"/>
      <c r="IO6" s="73">
        <f t="shared" si="68"/>
        <v>0</v>
      </c>
      <c r="IP6" s="72"/>
      <c r="IQ6" s="72">
        <f t="shared" si="69"/>
        <v>0</v>
      </c>
    </row>
    <row r="7" spans="1:251" ht="30.75" customHeight="1">
      <c r="A7" s="69" t="s">
        <v>72</v>
      </c>
      <c r="B7" s="71"/>
      <c r="C7" s="72" t="s">
        <v>7</v>
      </c>
      <c r="D7" s="72" t="s">
        <v>73</v>
      </c>
      <c r="E7" s="72" t="s">
        <v>8</v>
      </c>
      <c r="F7" s="72" t="s">
        <v>8</v>
      </c>
      <c r="G7" s="1"/>
      <c r="H7" s="1"/>
      <c r="I7" s="1">
        <v>2</v>
      </c>
      <c r="J7" s="1"/>
      <c r="K7" s="10">
        <f t="shared" si="0"/>
        <v>0</v>
      </c>
      <c r="L7" s="1"/>
      <c r="M7" s="1">
        <f t="shared" si="1"/>
        <v>0</v>
      </c>
      <c r="N7" s="2"/>
      <c r="O7" s="2"/>
      <c r="P7" s="2">
        <v>2</v>
      </c>
      <c r="Q7" s="2"/>
      <c r="R7" s="3">
        <f t="shared" si="2"/>
        <v>0</v>
      </c>
      <c r="S7" s="2"/>
      <c r="T7" s="2">
        <f t="shared" si="3"/>
        <v>0</v>
      </c>
      <c r="U7" s="1"/>
      <c r="V7" s="1"/>
      <c r="W7" s="1">
        <v>2</v>
      </c>
      <c r="X7" s="1"/>
      <c r="Y7" s="10">
        <f t="shared" si="4"/>
        <v>0</v>
      </c>
      <c r="Z7" s="1"/>
      <c r="AA7" s="1">
        <f t="shared" si="5"/>
        <v>0</v>
      </c>
      <c r="AB7" s="2"/>
      <c r="AC7" s="2"/>
      <c r="AD7" s="2">
        <v>2</v>
      </c>
      <c r="AE7" s="2"/>
      <c r="AF7" s="3">
        <f t="shared" si="6"/>
        <v>0</v>
      </c>
      <c r="AG7" s="2"/>
      <c r="AH7" s="2">
        <f t="shared" si="7"/>
        <v>0</v>
      </c>
      <c r="AI7" s="1"/>
      <c r="AJ7" s="1"/>
      <c r="AK7" s="1">
        <v>2</v>
      </c>
      <c r="AL7" s="1"/>
      <c r="AM7" s="10">
        <f t="shared" si="8"/>
        <v>0</v>
      </c>
      <c r="AN7" s="1"/>
      <c r="AO7" s="1">
        <f t="shared" si="9"/>
        <v>0</v>
      </c>
      <c r="AP7" s="2"/>
      <c r="AQ7" s="2"/>
      <c r="AR7" s="2">
        <v>2</v>
      </c>
      <c r="AS7" s="2"/>
      <c r="AT7" s="3">
        <f t="shared" si="10"/>
        <v>0</v>
      </c>
      <c r="AU7" s="2"/>
      <c r="AV7" s="2">
        <f t="shared" si="11"/>
        <v>0</v>
      </c>
      <c r="AW7" s="1"/>
      <c r="AX7" s="1"/>
      <c r="AY7" s="1">
        <v>2</v>
      </c>
      <c r="AZ7" s="1"/>
      <c r="BA7" s="10">
        <f t="shared" si="12"/>
        <v>0</v>
      </c>
      <c r="BB7" s="1"/>
      <c r="BC7" s="1">
        <f t="shared" si="13"/>
        <v>0</v>
      </c>
      <c r="BD7" s="2"/>
      <c r="BE7" s="2"/>
      <c r="BF7" s="2">
        <v>2</v>
      </c>
      <c r="BG7" s="2"/>
      <c r="BH7" s="3">
        <f t="shared" si="14"/>
        <v>0</v>
      </c>
      <c r="BI7" s="2"/>
      <c r="BJ7" s="2">
        <f t="shared" si="15"/>
        <v>0</v>
      </c>
      <c r="BK7" s="1"/>
      <c r="BL7" s="1"/>
      <c r="BM7" s="1">
        <v>2</v>
      </c>
      <c r="BN7" s="1"/>
      <c r="BO7" s="10">
        <f t="shared" si="16"/>
        <v>0</v>
      </c>
      <c r="BP7" s="1"/>
      <c r="BQ7" s="1">
        <f t="shared" si="17"/>
        <v>0</v>
      </c>
      <c r="BR7" s="2"/>
      <c r="BS7" s="2"/>
      <c r="BT7" s="2">
        <v>2</v>
      </c>
      <c r="BU7" s="2"/>
      <c r="BV7" s="3">
        <f t="shared" si="18"/>
        <v>0</v>
      </c>
      <c r="BW7" s="2"/>
      <c r="BX7" s="2">
        <f t="shared" si="19"/>
        <v>0</v>
      </c>
      <c r="BY7" s="1"/>
      <c r="BZ7" s="1"/>
      <c r="CA7" s="1">
        <v>2</v>
      </c>
      <c r="CB7" s="1"/>
      <c r="CC7" s="10">
        <f t="shared" si="20"/>
        <v>0</v>
      </c>
      <c r="CD7" s="1"/>
      <c r="CE7" s="1">
        <f t="shared" si="21"/>
        <v>0</v>
      </c>
      <c r="CF7" s="2"/>
      <c r="CG7" s="2"/>
      <c r="CH7" s="2">
        <v>2</v>
      </c>
      <c r="CI7" s="2"/>
      <c r="CJ7" s="3">
        <f t="shared" si="22"/>
        <v>0</v>
      </c>
      <c r="CK7" s="2"/>
      <c r="CL7" s="2">
        <f t="shared" si="23"/>
        <v>0</v>
      </c>
      <c r="CM7" s="1"/>
      <c r="CN7" s="1"/>
      <c r="CO7" s="1">
        <v>2</v>
      </c>
      <c r="CP7" s="1"/>
      <c r="CQ7" s="10">
        <f t="shared" si="24"/>
        <v>0</v>
      </c>
      <c r="CR7" s="1"/>
      <c r="CS7" s="1">
        <f t="shared" si="25"/>
        <v>0</v>
      </c>
      <c r="CT7" s="2"/>
      <c r="CU7" s="2"/>
      <c r="CV7" s="2">
        <v>2</v>
      </c>
      <c r="CW7" s="2"/>
      <c r="CX7" s="3">
        <f t="shared" si="26"/>
        <v>0</v>
      </c>
      <c r="CY7" s="2"/>
      <c r="CZ7" s="2">
        <f t="shared" si="27"/>
        <v>0</v>
      </c>
      <c r="DA7" s="1"/>
      <c r="DB7" s="1"/>
      <c r="DC7" s="1">
        <v>2</v>
      </c>
      <c r="DD7" s="1"/>
      <c r="DE7" s="10">
        <f t="shared" si="28"/>
        <v>0</v>
      </c>
      <c r="DF7" s="1"/>
      <c r="DG7" s="1">
        <f t="shared" si="29"/>
        <v>0</v>
      </c>
      <c r="DH7" s="2"/>
      <c r="DI7" s="2"/>
      <c r="DJ7" s="2">
        <v>2</v>
      </c>
      <c r="DK7" s="2"/>
      <c r="DL7" s="3">
        <f t="shared" si="30"/>
        <v>0</v>
      </c>
      <c r="DM7" s="2"/>
      <c r="DN7" s="2">
        <f t="shared" si="31"/>
        <v>0</v>
      </c>
      <c r="DO7" s="1"/>
      <c r="DP7" s="1"/>
      <c r="DQ7" s="1">
        <v>2</v>
      </c>
      <c r="DR7" s="1"/>
      <c r="DS7" s="10">
        <f t="shared" si="32"/>
        <v>0</v>
      </c>
      <c r="DT7" s="1"/>
      <c r="DU7" s="1">
        <f t="shared" si="33"/>
        <v>0</v>
      </c>
      <c r="DV7" s="2"/>
      <c r="DW7" s="2"/>
      <c r="DX7" s="2">
        <v>2</v>
      </c>
      <c r="DY7" s="2"/>
      <c r="DZ7" s="3">
        <f t="shared" si="34"/>
        <v>0</v>
      </c>
      <c r="EA7" s="2"/>
      <c r="EB7" s="2">
        <f t="shared" si="35"/>
        <v>0</v>
      </c>
      <c r="EC7" s="1"/>
      <c r="ED7" s="1"/>
      <c r="EE7" s="1">
        <v>2</v>
      </c>
      <c r="EF7" s="1"/>
      <c r="EG7" s="10">
        <f t="shared" si="36"/>
        <v>0</v>
      </c>
      <c r="EH7" s="1"/>
      <c r="EI7" s="1">
        <f t="shared" si="37"/>
        <v>0</v>
      </c>
      <c r="EJ7" s="2"/>
      <c r="EK7" s="2"/>
      <c r="EL7" s="2">
        <v>2</v>
      </c>
      <c r="EM7" s="2"/>
      <c r="EN7" s="3">
        <f t="shared" si="38"/>
        <v>0</v>
      </c>
      <c r="EO7" s="2"/>
      <c r="EP7" s="2">
        <f t="shared" si="39"/>
        <v>0</v>
      </c>
      <c r="EQ7" s="72"/>
      <c r="ER7" s="72"/>
      <c r="ES7" s="72">
        <v>2</v>
      </c>
      <c r="ET7" s="72"/>
      <c r="EU7" s="73">
        <f t="shared" si="40"/>
        <v>0</v>
      </c>
      <c r="EV7" s="72"/>
      <c r="EW7" s="72">
        <f t="shared" si="41"/>
        <v>0</v>
      </c>
      <c r="EX7" s="68"/>
      <c r="EY7" s="68"/>
      <c r="EZ7" s="68">
        <v>2</v>
      </c>
      <c r="FA7" s="68"/>
      <c r="FB7" s="10">
        <f t="shared" si="42"/>
        <v>0</v>
      </c>
      <c r="FC7" s="68"/>
      <c r="FD7" s="68">
        <f t="shared" si="43"/>
        <v>0</v>
      </c>
      <c r="FE7" s="72"/>
      <c r="FF7" s="72"/>
      <c r="FG7" s="72">
        <v>2</v>
      </c>
      <c r="FH7" s="72"/>
      <c r="FI7" s="73">
        <f t="shared" si="44"/>
        <v>0</v>
      </c>
      <c r="FJ7" s="72"/>
      <c r="FK7" s="72">
        <f t="shared" si="45"/>
        <v>0</v>
      </c>
      <c r="FL7" s="68"/>
      <c r="FM7" s="68"/>
      <c r="FN7" s="68">
        <v>2</v>
      </c>
      <c r="FO7" s="68"/>
      <c r="FP7" s="10">
        <f t="shared" si="46"/>
        <v>0</v>
      </c>
      <c r="FQ7" s="68"/>
      <c r="FR7" s="68">
        <f t="shared" si="47"/>
        <v>0</v>
      </c>
      <c r="FS7" s="72"/>
      <c r="FT7" s="72"/>
      <c r="FU7" s="72">
        <v>2</v>
      </c>
      <c r="FV7" s="72"/>
      <c r="FW7" s="73">
        <f t="shared" si="48"/>
        <v>0</v>
      </c>
      <c r="FX7" s="72"/>
      <c r="FY7" s="72">
        <f t="shared" si="49"/>
        <v>0</v>
      </c>
      <c r="FZ7" s="72"/>
      <c r="GA7" s="72"/>
      <c r="GB7" s="72">
        <v>2</v>
      </c>
      <c r="GC7" s="72"/>
      <c r="GD7" s="73">
        <f t="shared" si="50"/>
        <v>0</v>
      </c>
      <c r="GE7" s="72"/>
      <c r="GF7" s="72">
        <f t="shared" si="51"/>
        <v>0</v>
      </c>
      <c r="GG7" s="68"/>
      <c r="GH7" s="68"/>
      <c r="GI7" s="68">
        <v>2</v>
      </c>
      <c r="GJ7" s="68"/>
      <c r="GK7" s="10">
        <f t="shared" si="52"/>
        <v>0</v>
      </c>
      <c r="GL7" s="68"/>
      <c r="GM7" s="68">
        <f t="shared" si="53"/>
        <v>0</v>
      </c>
      <c r="GN7" s="72"/>
      <c r="GO7" s="72"/>
      <c r="GP7" s="72">
        <v>2</v>
      </c>
      <c r="GQ7" s="72"/>
      <c r="GR7" s="73">
        <f t="shared" si="54"/>
        <v>0</v>
      </c>
      <c r="GS7" s="72"/>
      <c r="GT7" s="72">
        <f t="shared" si="55"/>
        <v>0</v>
      </c>
      <c r="GU7" s="68"/>
      <c r="GV7" s="68"/>
      <c r="GW7" s="68">
        <v>2</v>
      </c>
      <c r="GX7" s="68"/>
      <c r="GY7" s="10">
        <f t="shared" si="56"/>
        <v>0</v>
      </c>
      <c r="GZ7" s="68"/>
      <c r="HA7" s="68">
        <f t="shared" si="57"/>
        <v>0</v>
      </c>
      <c r="HB7" s="72"/>
      <c r="HC7" s="72"/>
      <c r="HD7" s="72">
        <v>2</v>
      </c>
      <c r="HE7" s="72"/>
      <c r="HF7" s="73">
        <f t="shared" si="58"/>
        <v>0</v>
      </c>
      <c r="HG7" s="72"/>
      <c r="HH7" s="72">
        <f t="shared" si="59"/>
        <v>0</v>
      </c>
      <c r="HI7" s="72"/>
      <c r="HJ7" s="72"/>
      <c r="HK7" s="72">
        <v>2</v>
      </c>
      <c r="HL7" s="72"/>
      <c r="HM7" s="73">
        <f t="shared" si="60"/>
        <v>0</v>
      </c>
      <c r="HN7" s="72"/>
      <c r="HO7" s="72">
        <f t="shared" si="61"/>
        <v>0</v>
      </c>
      <c r="HP7" s="68"/>
      <c r="HQ7" s="68"/>
      <c r="HR7" s="68">
        <v>2</v>
      </c>
      <c r="HS7" s="68"/>
      <c r="HT7" s="10">
        <f t="shared" si="62"/>
        <v>0</v>
      </c>
      <c r="HU7" s="68"/>
      <c r="HV7" s="68">
        <f t="shared" si="63"/>
        <v>0</v>
      </c>
      <c r="HW7" s="72"/>
      <c r="HX7" s="72"/>
      <c r="HY7" s="72">
        <v>2</v>
      </c>
      <c r="HZ7" s="72"/>
      <c r="IA7" s="73">
        <f t="shared" si="64"/>
        <v>0</v>
      </c>
      <c r="IB7" s="72"/>
      <c r="IC7" s="72">
        <f t="shared" si="65"/>
        <v>0</v>
      </c>
      <c r="ID7" s="68"/>
      <c r="IE7" s="68"/>
      <c r="IF7" s="68">
        <v>2</v>
      </c>
      <c r="IG7" s="68"/>
      <c r="IH7" s="10">
        <f t="shared" si="66"/>
        <v>0</v>
      </c>
      <c r="II7" s="68"/>
      <c r="IJ7" s="68">
        <f t="shared" si="67"/>
        <v>0</v>
      </c>
      <c r="IK7" s="72"/>
      <c r="IL7" s="72"/>
      <c r="IM7" s="72">
        <v>2</v>
      </c>
      <c r="IN7" s="72"/>
      <c r="IO7" s="73">
        <f t="shared" si="68"/>
        <v>0</v>
      </c>
      <c r="IP7" s="72"/>
      <c r="IQ7" s="72">
        <f t="shared" si="69"/>
        <v>0</v>
      </c>
    </row>
    <row r="8" spans="1:251" ht="33" customHeight="1">
      <c r="A8" s="69" t="s">
        <v>74</v>
      </c>
      <c r="B8" s="71"/>
      <c r="C8" s="72" t="s">
        <v>9</v>
      </c>
      <c r="D8" s="72" t="s">
        <v>75</v>
      </c>
      <c r="E8" s="72" t="s">
        <v>10</v>
      </c>
      <c r="F8" s="72" t="s">
        <v>10</v>
      </c>
      <c r="G8" s="1"/>
      <c r="H8" s="1"/>
      <c r="I8" s="1">
        <v>2</v>
      </c>
      <c r="J8" s="1"/>
      <c r="K8" s="10">
        <f t="shared" si="0"/>
        <v>0</v>
      </c>
      <c r="L8" s="1"/>
      <c r="M8" s="1">
        <f t="shared" si="1"/>
        <v>0</v>
      </c>
      <c r="N8" s="2"/>
      <c r="O8" s="2"/>
      <c r="P8" s="2">
        <v>2</v>
      </c>
      <c r="Q8" s="2"/>
      <c r="R8" s="3">
        <f t="shared" si="2"/>
        <v>0</v>
      </c>
      <c r="S8" s="2"/>
      <c r="T8" s="2">
        <f t="shared" si="3"/>
        <v>0</v>
      </c>
      <c r="U8" s="1"/>
      <c r="V8" s="1"/>
      <c r="W8" s="1">
        <v>2</v>
      </c>
      <c r="X8" s="1"/>
      <c r="Y8" s="10">
        <f t="shared" si="4"/>
        <v>0</v>
      </c>
      <c r="Z8" s="1"/>
      <c r="AA8" s="1">
        <f t="shared" si="5"/>
        <v>0</v>
      </c>
      <c r="AB8" s="2"/>
      <c r="AC8" s="2"/>
      <c r="AD8" s="2">
        <v>2</v>
      </c>
      <c r="AE8" s="2"/>
      <c r="AF8" s="3">
        <f t="shared" si="6"/>
        <v>0</v>
      </c>
      <c r="AG8" s="2"/>
      <c r="AH8" s="2">
        <f t="shared" si="7"/>
        <v>0</v>
      </c>
      <c r="AI8" s="1"/>
      <c r="AJ8" s="1"/>
      <c r="AK8" s="1">
        <v>2</v>
      </c>
      <c r="AL8" s="1"/>
      <c r="AM8" s="10">
        <f t="shared" si="8"/>
        <v>0</v>
      </c>
      <c r="AN8" s="1"/>
      <c r="AO8" s="1">
        <f t="shared" si="9"/>
        <v>0</v>
      </c>
      <c r="AP8" s="2"/>
      <c r="AQ8" s="2"/>
      <c r="AR8" s="2">
        <v>2</v>
      </c>
      <c r="AS8" s="2"/>
      <c r="AT8" s="3">
        <f t="shared" si="10"/>
        <v>0</v>
      </c>
      <c r="AU8" s="2"/>
      <c r="AV8" s="2">
        <f t="shared" si="11"/>
        <v>0</v>
      </c>
      <c r="AW8" s="1"/>
      <c r="AX8" s="1"/>
      <c r="AY8" s="1">
        <v>2</v>
      </c>
      <c r="AZ8" s="1"/>
      <c r="BA8" s="10">
        <f t="shared" si="12"/>
        <v>0</v>
      </c>
      <c r="BB8" s="1"/>
      <c r="BC8" s="1">
        <f t="shared" si="13"/>
        <v>0</v>
      </c>
      <c r="BD8" s="2"/>
      <c r="BE8" s="2"/>
      <c r="BF8" s="2">
        <v>2</v>
      </c>
      <c r="BG8" s="2"/>
      <c r="BH8" s="3">
        <f t="shared" si="14"/>
        <v>0</v>
      </c>
      <c r="BI8" s="2"/>
      <c r="BJ8" s="2">
        <f t="shared" si="15"/>
        <v>0</v>
      </c>
      <c r="BK8" s="1"/>
      <c r="BL8" s="1"/>
      <c r="BM8" s="1">
        <v>2</v>
      </c>
      <c r="BN8" s="1"/>
      <c r="BO8" s="10">
        <f t="shared" si="16"/>
        <v>0</v>
      </c>
      <c r="BP8" s="1"/>
      <c r="BQ8" s="1">
        <f t="shared" si="17"/>
        <v>0</v>
      </c>
      <c r="BR8" s="2"/>
      <c r="BS8" s="2"/>
      <c r="BT8" s="2">
        <v>2</v>
      </c>
      <c r="BU8" s="2"/>
      <c r="BV8" s="3">
        <f t="shared" si="18"/>
        <v>0</v>
      </c>
      <c r="BW8" s="2"/>
      <c r="BX8" s="2">
        <f t="shared" si="19"/>
        <v>0</v>
      </c>
      <c r="BY8" s="1"/>
      <c r="BZ8" s="1"/>
      <c r="CA8" s="1">
        <v>2</v>
      </c>
      <c r="CB8" s="1"/>
      <c r="CC8" s="10">
        <f t="shared" si="20"/>
        <v>0</v>
      </c>
      <c r="CD8" s="1"/>
      <c r="CE8" s="1">
        <f t="shared" si="21"/>
        <v>0</v>
      </c>
      <c r="CF8" s="2"/>
      <c r="CG8" s="2"/>
      <c r="CH8" s="2">
        <v>2</v>
      </c>
      <c r="CI8" s="2"/>
      <c r="CJ8" s="3">
        <f t="shared" si="22"/>
        <v>0</v>
      </c>
      <c r="CK8" s="2"/>
      <c r="CL8" s="2">
        <f t="shared" si="23"/>
        <v>0</v>
      </c>
      <c r="CM8" s="1"/>
      <c r="CN8" s="1"/>
      <c r="CO8" s="1">
        <v>2</v>
      </c>
      <c r="CP8" s="1"/>
      <c r="CQ8" s="10">
        <f t="shared" si="24"/>
        <v>0</v>
      </c>
      <c r="CR8" s="1"/>
      <c r="CS8" s="1">
        <f t="shared" si="25"/>
        <v>0</v>
      </c>
      <c r="CT8" s="2"/>
      <c r="CU8" s="2"/>
      <c r="CV8" s="2">
        <v>2</v>
      </c>
      <c r="CW8" s="2"/>
      <c r="CX8" s="3">
        <f t="shared" si="26"/>
        <v>0</v>
      </c>
      <c r="CY8" s="2"/>
      <c r="CZ8" s="2">
        <f t="shared" si="27"/>
        <v>0</v>
      </c>
      <c r="DA8" s="1"/>
      <c r="DB8" s="1"/>
      <c r="DC8" s="1">
        <v>2</v>
      </c>
      <c r="DD8" s="1"/>
      <c r="DE8" s="10">
        <f t="shared" si="28"/>
        <v>0</v>
      </c>
      <c r="DF8" s="1"/>
      <c r="DG8" s="1">
        <f t="shared" si="29"/>
        <v>0</v>
      </c>
      <c r="DH8" s="2"/>
      <c r="DI8" s="2"/>
      <c r="DJ8" s="2">
        <v>2</v>
      </c>
      <c r="DK8" s="2"/>
      <c r="DL8" s="3">
        <f t="shared" si="30"/>
        <v>0</v>
      </c>
      <c r="DM8" s="2"/>
      <c r="DN8" s="2">
        <f t="shared" si="31"/>
        <v>0</v>
      </c>
      <c r="DO8" s="1"/>
      <c r="DP8" s="1"/>
      <c r="DQ8" s="1">
        <v>2</v>
      </c>
      <c r="DR8" s="1"/>
      <c r="DS8" s="10">
        <f t="shared" si="32"/>
        <v>0</v>
      </c>
      <c r="DT8" s="1"/>
      <c r="DU8" s="1">
        <f t="shared" si="33"/>
        <v>0</v>
      </c>
      <c r="DV8" s="2"/>
      <c r="DW8" s="2"/>
      <c r="DX8" s="2">
        <v>2</v>
      </c>
      <c r="DY8" s="2"/>
      <c r="DZ8" s="3">
        <f t="shared" si="34"/>
        <v>0</v>
      </c>
      <c r="EA8" s="2"/>
      <c r="EB8" s="2">
        <f t="shared" si="35"/>
        <v>0</v>
      </c>
      <c r="EC8" s="1"/>
      <c r="ED8" s="1"/>
      <c r="EE8" s="1">
        <v>2</v>
      </c>
      <c r="EF8" s="1"/>
      <c r="EG8" s="10">
        <f t="shared" si="36"/>
        <v>0</v>
      </c>
      <c r="EH8" s="1"/>
      <c r="EI8" s="1">
        <f t="shared" si="37"/>
        <v>0</v>
      </c>
      <c r="EJ8" s="2"/>
      <c r="EK8" s="2"/>
      <c r="EL8" s="2">
        <v>2</v>
      </c>
      <c r="EM8" s="2"/>
      <c r="EN8" s="3">
        <f t="shared" si="38"/>
        <v>0</v>
      </c>
      <c r="EO8" s="2"/>
      <c r="EP8" s="2">
        <f t="shared" si="39"/>
        <v>0</v>
      </c>
      <c r="EQ8" s="72"/>
      <c r="ER8" s="72"/>
      <c r="ES8" s="72">
        <v>2</v>
      </c>
      <c r="ET8" s="72"/>
      <c r="EU8" s="73">
        <f t="shared" si="40"/>
        <v>0</v>
      </c>
      <c r="EV8" s="72"/>
      <c r="EW8" s="72">
        <f t="shared" si="41"/>
        <v>0</v>
      </c>
      <c r="EX8" s="68"/>
      <c r="EY8" s="68"/>
      <c r="EZ8" s="68">
        <v>2</v>
      </c>
      <c r="FA8" s="68"/>
      <c r="FB8" s="10">
        <f t="shared" si="42"/>
        <v>0</v>
      </c>
      <c r="FC8" s="68"/>
      <c r="FD8" s="68">
        <f t="shared" si="43"/>
        <v>0</v>
      </c>
      <c r="FE8" s="72"/>
      <c r="FF8" s="72"/>
      <c r="FG8" s="72">
        <v>2</v>
      </c>
      <c r="FH8" s="72"/>
      <c r="FI8" s="73">
        <f t="shared" si="44"/>
        <v>0</v>
      </c>
      <c r="FJ8" s="72"/>
      <c r="FK8" s="72">
        <f t="shared" si="45"/>
        <v>0</v>
      </c>
      <c r="FL8" s="68"/>
      <c r="FM8" s="68"/>
      <c r="FN8" s="68">
        <v>2</v>
      </c>
      <c r="FO8" s="68"/>
      <c r="FP8" s="10">
        <f t="shared" si="46"/>
        <v>0</v>
      </c>
      <c r="FQ8" s="68"/>
      <c r="FR8" s="68">
        <f t="shared" si="47"/>
        <v>0</v>
      </c>
      <c r="FS8" s="72"/>
      <c r="FT8" s="72"/>
      <c r="FU8" s="72">
        <v>2</v>
      </c>
      <c r="FV8" s="72"/>
      <c r="FW8" s="73">
        <f t="shared" si="48"/>
        <v>0</v>
      </c>
      <c r="FX8" s="72"/>
      <c r="FY8" s="72">
        <f t="shared" si="49"/>
        <v>0</v>
      </c>
      <c r="FZ8" s="72"/>
      <c r="GA8" s="72"/>
      <c r="GB8" s="72">
        <v>2</v>
      </c>
      <c r="GC8" s="72"/>
      <c r="GD8" s="73">
        <f t="shared" si="50"/>
        <v>0</v>
      </c>
      <c r="GE8" s="72"/>
      <c r="GF8" s="72">
        <f t="shared" si="51"/>
        <v>0</v>
      </c>
      <c r="GG8" s="68"/>
      <c r="GH8" s="68"/>
      <c r="GI8" s="68">
        <v>2</v>
      </c>
      <c r="GJ8" s="68"/>
      <c r="GK8" s="10">
        <f t="shared" si="52"/>
        <v>0</v>
      </c>
      <c r="GL8" s="68"/>
      <c r="GM8" s="68">
        <f t="shared" si="53"/>
        <v>0</v>
      </c>
      <c r="GN8" s="72"/>
      <c r="GO8" s="72"/>
      <c r="GP8" s="72">
        <v>2</v>
      </c>
      <c r="GQ8" s="72"/>
      <c r="GR8" s="73">
        <f t="shared" si="54"/>
        <v>0</v>
      </c>
      <c r="GS8" s="72"/>
      <c r="GT8" s="72">
        <f t="shared" si="55"/>
        <v>0</v>
      </c>
      <c r="GU8" s="68"/>
      <c r="GV8" s="68"/>
      <c r="GW8" s="68">
        <v>2</v>
      </c>
      <c r="GX8" s="68"/>
      <c r="GY8" s="10">
        <f t="shared" si="56"/>
        <v>0</v>
      </c>
      <c r="GZ8" s="68"/>
      <c r="HA8" s="68">
        <f t="shared" si="57"/>
        <v>0</v>
      </c>
      <c r="HB8" s="72"/>
      <c r="HC8" s="72"/>
      <c r="HD8" s="72">
        <v>2</v>
      </c>
      <c r="HE8" s="72"/>
      <c r="HF8" s="73">
        <f t="shared" si="58"/>
        <v>0</v>
      </c>
      <c r="HG8" s="72"/>
      <c r="HH8" s="72">
        <f t="shared" si="59"/>
        <v>0</v>
      </c>
      <c r="HI8" s="72"/>
      <c r="HJ8" s="72"/>
      <c r="HK8" s="72">
        <v>2</v>
      </c>
      <c r="HL8" s="72"/>
      <c r="HM8" s="73">
        <f t="shared" si="60"/>
        <v>0</v>
      </c>
      <c r="HN8" s="72"/>
      <c r="HO8" s="72">
        <f t="shared" si="61"/>
        <v>0</v>
      </c>
      <c r="HP8" s="68"/>
      <c r="HQ8" s="68"/>
      <c r="HR8" s="68">
        <v>2</v>
      </c>
      <c r="HS8" s="68"/>
      <c r="HT8" s="10">
        <f t="shared" si="62"/>
        <v>0</v>
      </c>
      <c r="HU8" s="68"/>
      <c r="HV8" s="68">
        <f t="shared" si="63"/>
        <v>0</v>
      </c>
      <c r="HW8" s="72"/>
      <c r="HX8" s="72"/>
      <c r="HY8" s="72">
        <v>2</v>
      </c>
      <c r="HZ8" s="72"/>
      <c r="IA8" s="73">
        <f t="shared" si="64"/>
        <v>0</v>
      </c>
      <c r="IB8" s="72"/>
      <c r="IC8" s="72">
        <f t="shared" si="65"/>
        <v>0</v>
      </c>
      <c r="ID8" s="68"/>
      <c r="IE8" s="68"/>
      <c r="IF8" s="68">
        <v>2</v>
      </c>
      <c r="IG8" s="68"/>
      <c r="IH8" s="10">
        <f t="shared" si="66"/>
        <v>0</v>
      </c>
      <c r="II8" s="68"/>
      <c r="IJ8" s="68">
        <f t="shared" si="67"/>
        <v>0</v>
      </c>
      <c r="IK8" s="72"/>
      <c r="IL8" s="72"/>
      <c r="IM8" s="72">
        <v>2</v>
      </c>
      <c r="IN8" s="72"/>
      <c r="IO8" s="73">
        <f t="shared" si="68"/>
        <v>0</v>
      </c>
      <c r="IP8" s="72"/>
      <c r="IQ8" s="72">
        <f t="shared" si="69"/>
        <v>0</v>
      </c>
    </row>
    <row r="9" spans="1:251" ht="38.25" customHeight="1">
      <c r="A9" s="69" t="s">
        <v>76</v>
      </c>
      <c r="B9" s="71"/>
      <c r="C9" s="72" t="s">
        <v>17</v>
      </c>
      <c r="D9" s="72" t="s">
        <v>18</v>
      </c>
      <c r="E9" s="72" t="s">
        <v>19</v>
      </c>
      <c r="F9" s="72" t="s">
        <v>19</v>
      </c>
      <c r="G9" s="8"/>
      <c r="H9" s="8"/>
      <c r="I9" s="1">
        <v>2</v>
      </c>
      <c r="J9" s="1"/>
      <c r="K9" s="10">
        <f t="shared" si="0"/>
        <v>0</v>
      </c>
      <c r="L9" s="1"/>
      <c r="M9" s="1">
        <f t="shared" si="1"/>
        <v>0</v>
      </c>
      <c r="N9" s="7"/>
      <c r="O9" s="7"/>
      <c r="P9" s="2">
        <v>2</v>
      </c>
      <c r="Q9" s="2"/>
      <c r="R9" s="3">
        <f t="shared" si="2"/>
        <v>0</v>
      </c>
      <c r="S9" s="2"/>
      <c r="T9" s="2">
        <f t="shared" si="3"/>
        <v>0</v>
      </c>
      <c r="U9" s="8"/>
      <c r="V9" s="8"/>
      <c r="W9" s="1">
        <v>2</v>
      </c>
      <c r="X9" s="1"/>
      <c r="Y9" s="10">
        <f t="shared" si="4"/>
        <v>0</v>
      </c>
      <c r="Z9" s="1"/>
      <c r="AA9" s="1">
        <f t="shared" si="5"/>
        <v>0</v>
      </c>
      <c r="AB9" s="7"/>
      <c r="AC9" s="7"/>
      <c r="AD9" s="2">
        <v>2</v>
      </c>
      <c r="AE9" s="2"/>
      <c r="AF9" s="3">
        <f t="shared" si="6"/>
        <v>0</v>
      </c>
      <c r="AG9" s="2"/>
      <c r="AH9" s="2">
        <f t="shared" si="7"/>
        <v>0</v>
      </c>
      <c r="AI9" s="8"/>
      <c r="AJ9" s="8"/>
      <c r="AK9" s="1">
        <v>2</v>
      </c>
      <c r="AL9" s="1"/>
      <c r="AM9" s="10">
        <f t="shared" si="8"/>
        <v>0</v>
      </c>
      <c r="AN9" s="1"/>
      <c r="AO9" s="1">
        <f t="shared" si="9"/>
        <v>0</v>
      </c>
      <c r="AP9" s="7"/>
      <c r="AQ9" s="7"/>
      <c r="AR9" s="2">
        <v>2</v>
      </c>
      <c r="AS9" s="2"/>
      <c r="AT9" s="3">
        <f t="shared" si="10"/>
        <v>0</v>
      </c>
      <c r="AU9" s="2"/>
      <c r="AV9" s="2">
        <f t="shared" si="11"/>
        <v>0</v>
      </c>
      <c r="AW9" s="8"/>
      <c r="AX9" s="8"/>
      <c r="AY9" s="1">
        <v>2</v>
      </c>
      <c r="AZ9" s="1"/>
      <c r="BA9" s="10">
        <f t="shared" si="12"/>
        <v>0</v>
      </c>
      <c r="BB9" s="1"/>
      <c r="BC9" s="1">
        <f t="shared" si="13"/>
        <v>0</v>
      </c>
      <c r="BD9" s="7"/>
      <c r="BE9" s="7"/>
      <c r="BF9" s="2">
        <v>2</v>
      </c>
      <c r="BG9" s="2"/>
      <c r="BH9" s="3">
        <f t="shared" si="14"/>
        <v>0</v>
      </c>
      <c r="BI9" s="2"/>
      <c r="BJ9" s="2">
        <f t="shared" si="15"/>
        <v>0</v>
      </c>
      <c r="BK9" s="8"/>
      <c r="BL9" s="8"/>
      <c r="BM9" s="1">
        <v>2</v>
      </c>
      <c r="BN9" s="1"/>
      <c r="BO9" s="10">
        <f t="shared" si="16"/>
        <v>0</v>
      </c>
      <c r="BP9" s="1"/>
      <c r="BQ9" s="1">
        <f t="shared" si="17"/>
        <v>0</v>
      </c>
      <c r="BR9" s="7"/>
      <c r="BS9" s="7"/>
      <c r="BT9" s="2">
        <v>2</v>
      </c>
      <c r="BU9" s="2"/>
      <c r="BV9" s="3">
        <f t="shared" si="18"/>
        <v>0</v>
      </c>
      <c r="BW9" s="2"/>
      <c r="BX9" s="2">
        <f t="shared" si="19"/>
        <v>0</v>
      </c>
      <c r="BY9" s="8"/>
      <c r="BZ9" s="8"/>
      <c r="CA9" s="1">
        <v>2</v>
      </c>
      <c r="CB9" s="1"/>
      <c r="CC9" s="10">
        <f t="shared" si="20"/>
        <v>0</v>
      </c>
      <c r="CD9" s="1"/>
      <c r="CE9" s="1">
        <f t="shared" si="21"/>
        <v>0</v>
      </c>
      <c r="CF9" s="7"/>
      <c r="CG9" s="7"/>
      <c r="CH9" s="2">
        <v>2</v>
      </c>
      <c r="CI9" s="2"/>
      <c r="CJ9" s="3">
        <f t="shared" si="22"/>
        <v>0</v>
      </c>
      <c r="CK9" s="2"/>
      <c r="CL9" s="2">
        <f t="shared" si="23"/>
        <v>0</v>
      </c>
      <c r="CM9" s="8"/>
      <c r="CN9" s="8"/>
      <c r="CO9" s="1">
        <v>2</v>
      </c>
      <c r="CP9" s="1"/>
      <c r="CQ9" s="10">
        <f t="shared" si="24"/>
        <v>0</v>
      </c>
      <c r="CR9" s="1"/>
      <c r="CS9" s="1">
        <f t="shared" si="25"/>
        <v>0</v>
      </c>
      <c r="CT9" s="7"/>
      <c r="CU9" s="7"/>
      <c r="CV9" s="2">
        <v>2</v>
      </c>
      <c r="CW9" s="2"/>
      <c r="CX9" s="3">
        <f t="shared" si="26"/>
        <v>0</v>
      </c>
      <c r="CY9" s="2"/>
      <c r="CZ9" s="2">
        <f t="shared" si="27"/>
        <v>0</v>
      </c>
      <c r="DA9" s="8"/>
      <c r="DB9" s="8"/>
      <c r="DC9" s="1">
        <v>2</v>
      </c>
      <c r="DD9" s="1"/>
      <c r="DE9" s="10">
        <f t="shared" si="28"/>
        <v>0</v>
      </c>
      <c r="DF9" s="1"/>
      <c r="DG9" s="1">
        <f t="shared" si="29"/>
        <v>0</v>
      </c>
      <c r="DH9" s="7"/>
      <c r="DI9" s="7"/>
      <c r="DJ9" s="2">
        <v>2</v>
      </c>
      <c r="DK9" s="2"/>
      <c r="DL9" s="3">
        <f t="shared" si="30"/>
        <v>0</v>
      </c>
      <c r="DM9" s="2"/>
      <c r="DN9" s="2">
        <f t="shared" si="31"/>
        <v>0</v>
      </c>
      <c r="DO9" s="8"/>
      <c r="DP9" s="8"/>
      <c r="DQ9" s="1">
        <v>2</v>
      </c>
      <c r="DR9" s="1"/>
      <c r="DS9" s="10">
        <f t="shared" si="32"/>
        <v>0</v>
      </c>
      <c r="DT9" s="1"/>
      <c r="DU9" s="1">
        <f t="shared" si="33"/>
        <v>0</v>
      </c>
      <c r="DV9" s="7"/>
      <c r="DW9" s="7"/>
      <c r="DX9" s="2">
        <v>2</v>
      </c>
      <c r="DY9" s="2"/>
      <c r="DZ9" s="3">
        <f t="shared" si="34"/>
        <v>0</v>
      </c>
      <c r="EA9" s="2"/>
      <c r="EB9" s="2">
        <f t="shared" si="35"/>
        <v>0</v>
      </c>
      <c r="EC9" s="8"/>
      <c r="ED9" s="8"/>
      <c r="EE9" s="1">
        <v>2</v>
      </c>
      <c r="EF9" s="1"/>
      <c r="EG9" s="10">
        <f t="shared" si="36"/>
        <v>0</v>
      </c>
      <c r="EH9" s="1"/>
      <c r="EI9" s="1">
        <f t="shared" si="37"/>
        <v>0</v>
      </c>
      <c r="EJ9" s="7"/>
      <c r="EK9" s="7"/>
      <c r="EL9" s="2">
        <v>2</v>
      </c>
      <c r="EM9" s="2"/>
      <c r="EN9" s="3">
        <f t="shared" si="38"/>
        <v>0</v>
      </c>
      <c r="EO9" s="2"/>
      <c r="EP9" s="2">
        <f t="shared" si="39"/>
        <v>0</v>
      </c>
      <c r="EQ9" s="7"/>
      <c r="ER9" s="7"/>
      <c r="ES9" s="72">
        <v>2</v>
      </c>
      <c r="ET9" s="72"/>
      <c r="EU9" s="73">
        <f t="shared" si="40"/>
        <v>0</v>
      </c>
      <c r="EV9" s="72"/>
      <c r="EW9" s="72">
        <f t="shared" si="41"/>
        <v>0</v>
      </c>
      <c r="EX9" s="8"/>
      <c r="EY9" s="8"/>
      <c r="EZ9" s="68">
        <v>2</v>
      </c>
      <c r="FA9" s="68"/>
      <c r="FB9" s="10">
        <f t="shared" si="42"/>
        <v>0</v>
      </c>
      <c r="FC9" s="68"/>
      <c r="FD9" s="68">
        <f t="shared" si="43"/>
        <v>0</v>
      </c>
      <c r="FE9" s="7"/>
      <c r="FF9" s="7"/>
      <c r="FG9" s="72">
        <v>2</v>
      </c>
      <c r="FH9" s="72"/>
      <c r="FI9" s="73">
        <f t="shared" si="44"/>
        <v>0</v>
      </c>
      <c r="FJ9" s="72"/>
      <c r="FK9" s="72">
        <f t="shared" si="45"/>
        <v>0</v>
      </c>
      <c r="FL9" s="8"/>
      <c r="FM9" s="8"/>
      <c r="FN9" s="68">
        <v>2</v>
      </c>
      <c r="FO9" s="68"/>
      <c r="FP9" s="10">
        <f t="shared" si="46"/>
        <v>0</v>
      </c>
      <c r="FQ9" s="68"/>
      <c r="FR9" s="68">
        <f t="shared" si="47"/>
        <v>0</v>
      </c>
      <c r="FS9" s="7"/>
      <c r="FT9" s="7"/>
      <c r="FU9" s="72">
        <v>2</v>
      </c>
      <c r="FV9" s="72"/>
      <c r="FW9" s="73">
        <f t="shared" si="48"/>
        <v>0</v>
      </c>
      <c r="FX9" s="72"/>
      <c r="FY9" s="72">
        <f t="shared" si="49"/>
        <v>0</v>
      </c>
      <c r="FZ9" s="7"/>
      <c r="GA9" s="7"/>
      <c r="GB9" s="72">
        <v>2</v>
      </c>
      <c r="GC9" s="72"/>
      <c r="GD9" s="73">
        <f t="shared" si="50"/>
        <v>0</v>
      </c>
      <c r="GE9" s="72"/>
      <c r="GF9" s="72">
        <f t="shared" si="51"/>
        <v>0</v>
      </c>
      <c r="GG9" s="8"/>
      <c r="GH9" s="8"/>
      <c r="GI9" s="68">
        <v>2</v>
      </c>
      <c r="GJ9" s="68"/>
      <c r="GK9" s="10">
        <f t="shared" si="52"/>
        <v>0</v>
      </c>
      <c r="GL9" s="68"/>
      <c r="GM9" s="68">
        <f t="shared" si="53"/>
        <v>0</v>
      </c>
      <c r="GN9" s="7"/>
      <c r="GO9" s="7"/>
      <c r="GP9" s="72">
        <v>2</v>
      </c>
      <c r="GQ9" s="72"/>
      <c r="GR9" s="73">
        <f t="shared" si="54"/>
        <v>0</v>
      </c>
      <c r="GS9" s="72"/>
      <c r="GT9" s="72">
        <f t="shared" si="55"/>
        <v>0</v>
      </c>
      <c r="GU9" s="8"/>
      <c r="GV9" s="8"/>
      <c r="GW9" s="68">
        <v>2</v>
      </c>
      <c r="GX9" s="68"/>
      <c r="GY9" s="10">
        <f t="shared" si="56"/>
        <v>0</v>
      </c>
      <c r="GZ9" s="68"/>
      <c r="HA9" s="68">
        <f t="shared" si="57"/>
        <v>0</v>
      </c>
      <c r="HB9" s="7"/>
      <c r="HC9" s="7"/>
      <c r="HD9" s="72">
        <v>2</v>
      </c>
      <c r="HE9" s="72"/>
      <c r="HF9" s="73">
        <f t="shared" si="58"/>
        <v>0</v>
      </c>
      <c r="HG9" s="72"/>
      <c r="HH9" s="72">
        <f t="shared" si="59"/>
        <v>0</v>
      </c>
      <c r="HI9" s="7"/>
      <c r="HJ9" s="7"/>
      <c r="HK9" s="72">
        <v>2</v>
      </c>
      <c r="HL9" s="72"/>
      <c r="HM9" s="73">
        <f t="shared" si="60"/>
        <v>0</v>
      </c>
      <c r="HN9" s="72"/>
      <c r="HO9" s="72">
        <f t="shared" si="61"/>
        <v>0</v>
      </c>
      <c r="HP9" s="8"/>
      <c r="HQ9" s="8"/>
      <c r="HR9" s="68">
        <v>2</v>
      </c>
      <c r="HS9" s="68"/>
      <c r="HT9" s="10">
        <f t="shared" si="62"/>
        <v>0</v>
      </c>
      <c r="HU9" s="68"/>
      <c r="HV9" s="68">
        <f t="shared" si="63"/>
        <v>0</v>
      </c>
      <c r="HW9" s="7"/>
      <c r="HX9" s="7"/>
      <c r="HY9" s="72">
        <v>2</v>
      </c>
      <c r="HZ9" s="72"/>
      <c r="IA9" s="73">
        <f t="shared" si="64"/>
        <v>0</v>
      </c>
      <c r="IB9" s="72"/>
      <c r="IC9" s="72">
        <f t="shared" si="65"/>
        <v>0</v>
      </c>
      <c r="ID9" s="8"/>
      <c r="IE9" s="8"/>
      <c r="IF9" s="68">
        <v>2</v>
      </c>
      <c r="IG9" s="68"/>
      <c r="IH9" s="10">
        <f t="shared" si="66"/>
        <v>0</v>
      </c>
      <c r="II9" s="68"/>
      <c r="IJ9" s="68">
        <f t="shared" si="67"/>
        <v>0</v>
      </c>
      <c r="IK9" s="7"/>
      <c r="IL9" s="7"/>
      <c r="IM9" s="72">
        <v>2</v>
      </c>
      <c r="IN9" s="72"/>
      <c r="IO9" s="73">
        <f t="shared" si="68"/>
        <v>0</v>
      </c>
      <c r="IP9" s="72"/>
      <c r="IQ9" s="72">
        <f t="shared" si="69"/>
        <v>0</v>
      </c>
    </row>
    <row r="10" spans="1:251" ht="22.5" customHeight="1">
      <c r="A10" s="69" t="s">
        <v>77</v>
      </c>
      <c r="B10" s="71" t="s">
        <v>78</v>
      </c>
      <c r="C10" s="72">
        <v>0</v>
      </c>
      <c r="D10" s="72" t="s">
        <v>79</v>
      </c>
      <c r="E10" s="72" t="s">
        <v>11</v>
      </c>
      <c r="F10" s="72" t="s">
        <v>11</v>
      </c>
      <c r="G10" s="1"/>
      <c r="H10" s="1"/>
      <c r="I10" s="1">
        <v>2</v>
      </c>
      <c r="J10" s="1"/>
      <c r="K10" s="10">
        <f t="shared" si="0"/>
        <v>0</v>
      </c>
      <c r="L10" s="1"/>
      <c r="M10" s="1">
        <f t="shared" si="1"/>
        <v>0</v>
      </c>
      <c r="N10" s="2"/>
      <c r="O10" s="2"/>
      <c r="P10" s="2">
        <v>2</v>
      </c>
      <c r="Q10" s="2"/>
      <c r="R10" s="3">
        <f t="shared" si="2"/>
        <v>0</v>
      </c>
      <c r="S10" s="2"/>
      <c r="T10" s="2">
        <f t="shared" si="3"/>
        <v>0</v>
      </c>
      <c r="U10" s="1"/>
      <c r="V10" s="1"/>
      <c r="W10" s="1">
        <v>2</v>
      </c>
      <c r="X10" s="1"/>
      <c r="Y10" s="10">
        <f t="shared" si="4"/>
        <v>0</v>
      </c>
      <c r="Z10" s="1"/>
      <c r="AA10" s="1">
        <f t="shared" si="5"/>
        <v>0</v>
      </c>
      <c r="AB10" s="2"/>
      <c r="AC10" s="2"/>
      <c r="AD10" s="2">
        <v>2</v>
      </c>
      <c r="AE10" s="2"/>
      <c r="AF10" s="3">
        <f t="shared" si="6"/>
        <v>0</v>
      </c>
      <c r="AG10" s="2"/>
      <c r="AH10" s="2">
        <f t="shared" si="7"/>
        <v>0</v>
      </c>
      <c r="AI10" s="1"/>
      <c r="AJ10" s="1"/>
      <c r="AK10" s="1">
        <v>2</v>
      </c>
      <c r="AL10" s="1"/>
      <c r="AM10" s="10">
        <f t="shared" si="8"/>
        <v>0</v>
      </c>
      <c r="AN10" s="1"/>
      <c r="AO10" s="1">
        <f t="shared" si="9"/>
        <v>0</v>
      </c>
      <c r="AP10" s="2"/>
      <c r="AQ10" s="2"/>
      <c r="AR10" s="2">
        <v>2</v>
      </c>
      <c r="AS10" s="2"/>
      <c r="AT10" s="3">
        <f t="shared" si="10"/>
        <v>0</v>
      </c>
      <c r="AU10" s="2"/>
      <c r="AV10" s="2">
        <f t="shared" si="11"/>
        <v>0</v>
      </c>
      <c r="AW10" s="1"/>
      <c r="AX10" s="1"/>
      <c r="AY10" s="1">
        <v>2</v>
      </c>
      <c r="AZ10" s="1"/>
      <c r="BA10" s="10">
        <f t="shared" si="12"/>
        <v>0</v>
      </c>
      <c r="BB10" s="1"/>
      <c r="BC10" s="1">
        <f t="shared" si="13"/>
        <v>0</v>
      </c>
      <c r="BD10" s="2"/>
      <c r="BE10" s="2"/>
      <c r="BF10" s="2">
        <v>2</v>
      </c>
      <c r="BG10" s="2"/>
      <c r="BH10" s="3">
        <f t="shared" si="14"/>
        <v>0</v>
      </c>
      <c r="BI10" s="2"/>
      <c r="BJ10" s="2">
        <f t="shared" si="15"/>
        <v>0</v>
      </c>
      <c r="BK10" s="1"/>
      <c r="BL10" s="1"/>
      <c r="BM10" s="1">
        <v>2</v>
      </c>
      <c r="BN10" s="1"/>
      <c r="BO10" s="10">
        <f t="shared" si="16"/>
        <v>0</v>
      </c>
      <c r="BP10" s="1"/>
      <c r="BQ10" s="1">
        <f t="shared" si="17"/>
        <v>0</v>
      </c>
      <c r="BR10" s="2"/>
      <c r="BS10" s="2"/>
      <c r="BT10" s="2">
        <v>2</v>
      </c>
      <c r="BU10" s="2"/>
      <c r="BV10" s="3">
        <f t="shared" si="18"/>
        <v>0</v>
      </c>
      <c r="BW10" s="2"/>
      <c r="BX10" s="2">
        <f t="shared" si="19"/>
        <v>0</v>
      </c>
      <c r="BY10" s="1"/>
      <c r="BZ10" s="1"/>
      <c r="CA10" s="1">
        <v>2</v>
      </c>
      <c r="CB10" s="1"/>
      <c r="CC10" s="10">
        <f t="shared" si="20"/>
        <v>0</v>
      </c>
      <c r="CD10" s="1"/>
      <c r="CE10" s="1">
        <f t="shared" si="21"/>
        <v>0</v>
      </c>
      <c r="CF10" s="2"/>
      <c r="CG10" s="2"/>
      <c r="CH10" s="2">
        <v>2</v>
      </c>
      <c r="CI10" s="2"/>
      <c r="CJ10" s="3">
        <f t="shared" si="22"/>
        <v>0</v>
      </c>
      <c r="CK10" s="2"/>
      <c r="CL10" s="2">
        <f t="shared" si="23"/>
        <v>0</v>
      </c>
      <c r="CM10" s="1"/>
      <c r="CN10" s="1"/>
      <c r="CO10" s="1">
        <v>2</v>
      </c>
      <c r="CP10" s="1"/>
      <c r="CQ10" s="10">
        <f t="shared" si="24"/>
        <v>0</v>
      </c>
      <c r="CR10" s="1"/>
      <c r="CS10" s="1">
        <f t="shared" si="25"/>
        <v>0</v>
      </c>
      <c r="CT10" s="2"/>
      <c r="CU10" s="2"/>
      <c r="CV10" s="2">
        <v>2</v>
      </c>
      <c r="CW10" s="2"/>
      <c r="CX10" s="3">
        <f t="shared" si="26"/>
        <v>0</v>
      </c>
      <c r="CY10" s="2"/>
      <c r="CZ10" s="2">
        <f t="shared" si="27"/>
        <v>0</v>
      </c>
      <c r="DA10" s="1"/>
      <c r="DB10" s="1"/>
      <c r="DC10" s="1">
        <v>2</v>
      </c>
      <c r="DD10" s="1"/>
      <c r="DE10" s="10">
        <f t="shared" si="28"/>
        <v>0</v>
      </c>
      <c r="DF10" s="1"/>
      <c r="DG10" s="1">
        <f t="shared" si="29"/>
        <v>0</v>
      </c>
      <c r="DH10" s="2"/>
      <c r="DI10" s="2"/>
      <c r="DJ10" s="2">
        <v>2</v>
      </c>
      <c r="DK10" s="2"/>
      <c r="DL10" s="3">
        <f t="shared" si="30"/>
        <v>0</v>
      </c>
      <c r="DM10" s="2"/>
      <c r="DN10" s="2">
        <f t="shared" si="31"/>
        <v>0</v>
      </c>
      <c r="DO10" s="1"/>
      <c r="DP10" s="1"/>
      <c r="DQ10" s="1">
        <v>2</v>
      </c>
      <c r="DR10" s="1"/>
      <c r="DS10" s="10">
        <f t="shared" si="32"/>
        <v>0</v>
      </c>
      <c r="DT10" s="1"/>
      <c r="DU10" s="1">
        <f t="shared" si="33"/>
        <v>0</v>
      </c>
      <c r="DV10" s="2"/>
      <c r="DW10" s="2"/>
      <c r="DX10" s="2">
        <v>2</v>
      </c>
      <c r="DY10" s="2"/>
      <c r="DZ10" s="3">
        <f t="shared" si="34"/>
        <v>0</v>
      </c>
      <c r="EA10" s="2"/>
      <c r="EB10" s="2">
        <f t="shared" si="35"/>
        <v>0</v>
      </c>
      <c r="EC10" s="1"/>
      <c r="ED10" s="1"/>
      <c r="EE10" s="1">
        <v>2</v>
      </c>
      <c r="EF10" s="1"/>
      <c r="EG10" s="10">
        <f t="shared" si="36"/>
        <v>0</v>
      </c>
      <c r="EH10" s="1"/>
      <c r="EI10" s="1">
        <f t="shared" si="37"/>
        <v>0</v>
      </c>
      <c r="EJ10" s="2"/>
      <c r="EK10" s="2"/>
      <c r="EL10" s="2">
        <v>2</v>
      </c>
      <c r="EM10" s="2"/>
      <c r="EN10" s="3">
        <f t="shared" si="38"/>
        <v>0</v>
      </c>
      <c r="EO10" s="2"/>
      <c r="EP10" s="2">
        <f t="shared" si="39"/>
        <v>0</v>
      </c>
      <c r="EQ10" s="72"/>
      <c r="ER10" s="72"/>
      <c r="ES10" s="72">
        <v>2</v>
      </c>
      <c r="ET10" s="72"/>
      <c r="EU10" s="73">
        <f t="shared" si="40"/>
        <v>0</v>
      </c>
      <c r="EV10" s="72"/>
      <c r="EW10" s="72">
        <f t="shared" si="41"/>
        <v>0</v>
      </c>
      <c r="EX10" s="68"/>
      <c r="EY10" s="68"/>
      <c r="EZ10" s="68">
        <v>2</v>
      </c>
      <c r="FA10" s="68"/>
      <c r="FB10" s="10">
        <f t="shared" si="42"/>
        <v>0</v>
      </c>
      <c r="FC10" s="68"/>
      <c r="FD10" s="68">
        <f t="shared" si="43"/>
        <v>0</v>
      </c>
      <c r="FE10" s="72"/>
      <c r="FF10" s="72"/>
      <c r="FG10" s="72">
        <v>2</v>
      </c>
      <c r="FH10" s="72"/>
      <c r="FI10" s="73">
        <f t="shared" si="44"/>
        <v>0</v>
      </c>
      <c r="FJ10" s="72"/>
      <c r="FK10" s="72">
        <f t="shared" si="45"/>
        <v>0</v>
      </c>
      <c r="FL10" s="68"/>
      <c r="FM10" s="68"/>
      <c r="FN10" s="68">
        <v>2</v>
      </c>
      <c r="FO10" s="68"/>
      <c r="FP10" s="10">
        <f t="shared" si="46"/>
        <v>0</v>
      </c>
      <c r="FQ10" s="68"/>
      <c r="FR10" s="68">
        <f t="shared" si="47"/>
        <v>0</v>
      </c>
      <c r="FS10" s="72"/>
      <c r="FT10" s="72"/>
      <c r="FU10" s="72">
        <v>2</v>
      </c>
      <c r="FV10" s="72"/>
      <c r="FW10" s="73">
        <f t="shared" si="48"/>
        <v>0</v>
      </c>
      <c r="FX10" s="72"/>
      <c r="FY10" s="72">
        <f t="shared" si="49"/>
        <v>0</v>
      </c>
      <c r="FZ10" s="72"/>
      <c r="GA10" s="72"/>
      <c r="GB10" s="72">
        <v>2</v>
      </c>
      <c r="GC10" s="72"/>
      <c r="GD10" s="73">
        <f t="shared" si="50"/>
        <v>0</v>
      </c>
      <c r="GE10" s="72"/>
      <c r="GF10" s="72">
        <f t="shared" si="51"/>
        <v>0</v>
      </c>
      <c r="GG10" s="68"/>
      <c r="GH10" s="68"/>
      <c r="GI10" s="68">
        <v>2</v>
      </c>
      <c r="GJ10" s="68"/>
      <c r="GK10" s="10">
        <f t="shared" si="52"/>
        <v>0</v>
      </c>
      <c r="GL10" s="68"/>
      <c r="GM10" s="68">
        <f t="shared" si="53"/>
        <v>0</v>
      </c>
      <c r="GN10" s="72"/>
      <c r="GO10" s="72"/>
      <c r="GP10" s="72">
        <v>2</v>
      </c>
      <c r="GQ10" s="72"/>
      <c r="GR10" s="73">
        <f t="shared" si="54"/>
        <v>0</v>
      </c>
      <c r="GS10" s="72"/>
      <c r="GT10" s="72">
        <f t="shared" si="55"/>
        <v>0</v>
      </c>
      <c r="GU10" s="68"/>
      <c r="GV10" s="68"/>
      <c r="GW10" s="68">
        <v>2</v>
      </c>
      <c r="GX10" s="68"/>
      <c r="GY10" s="10">
        <f t="shared" si="56"/>
        <v>0</v>
      </c>
      <c r="GZ10" s="68"/>
      <c r="HA10" s="68">
        <f t="shared" si="57"/>
        <v>0</v>
      </c>
      <c r="HB10" s="72"/>
      <c r="HC10" s="72"/>
      <c r="HD10" s="72">
        <v>2</v>
      </c>
      <c r="HE10" s="72"/>
      <c r="HF10" s="73">
        <f t="shared" si="58"/>
        <v>0</v>
      </c>
      <c r="HG10" s="72"/>
      <c r="HH10" s="72">
        <f t="shared" si="59"/>
        <v>0</v>
      </c>
      <c r="HI10" s="72"/>
      <c r="HJ10" s="72"/>
      <c r="HK10" s="72">
        <v>2</v>
      </c>
      <c r="HL10" s="72"/>
      <c r="HM10" s="73">
        <f t="shared" si="60"/>
        <v>0</v>
      </c>
      <c r="HN10" s="72"/>
      <c r="HO10" s="72">
        <f t="shared" si="61"/>
        <v>0</v>
      </c>
      <c r="HP10" s="68"/>
      <c r="HQ10" s="68"/>
      <c r="HR10" s="68">
        <v>2</v>
      </c>
      <c r="HS10" s="68"/>
      <c r="HT10" s="10">
        <f t="shared" si="62"/>
        <v>0</v>
      </c>
      <c r="HU10" s="68"/>
      <c r="HV10" s="68">
        <f t="shared" si="63"/>
        <v>0</v>
      </c>
      <c r="HW10" s="72"/>
      <c r="HX10" s="72"/>
      <c r="HY10" s="72">
        <v>2</v>
      </c>
      <c r="HZ10" s="72"/>
      <c r="IA10" s="73">
        <f t="shared" si="64"/>
        <v>0</v>
      </c>
      <c r="IB10" s="72"/>
      <c r="IC10" s="72">
        <f t="shared" si="65"/>
        <v>0</v>
      </c>
      <c r="ID10" s="68"/>
      <c r="IE10" s="68"/>
      <c r="IF10" s="68">
        <v>2</v>
      </c>
      <c r="IG10" s="68"/>
      <c r="IH10" s="10">
        <f t="shared" si="66"/>
        <v>0</v>
      </c>
      <c r="II10" s="68"/>
      <c r="IJ10" s="68">
        <f t="shared" si="67"/>
        <v>0</v>
      </c>
      <c r="IK10" s="72"/>
      <c r="IL10" s="72"/>
      <c r="IM10" s="72">
        <v>2</v>
      </c>
      <c r="IN10" s="72"/>
      <c r="IO10" s="73">
        <f t="shared" si="68"/>
        <v>0</v>
      </c>
      <c r="IP10" s="72"/>
      <c r="IQ10" s="72">
        <f t="shared" si="69"/>
        <v>0</v>
      </c>
    </row>
    <row r="11" spans="1:251" ht="40.5" customHeight="1">
      <c r="A11" s="69" t="s">
        <v>80</v>
      </c>
      <c r="B11" s="71" t="s">
        <v>81</v>
      </c>
      <c r="C11" s="72" t="s">
        <v>82</v>
      </c>
      <c r="D11" s="72" t="s">
        <v>83</v>
      </c>
      <c r="E11" s="72" t="s">
        <v>84</v>
      </c>
      <c r="F11" s="72" t="s">
        <v>54</v>
      </c>
      <c r="G11" s="1"/>
      <c r="H11" s="1"/>
      <c r="I11" s="1">
        <v>2</v>
      </c>
      <c r="J11" s="1"/>
      <c r="K11" s="10">
        <f t="shared" si="0"/>
        <v>0</v>
      </c>
      <c r="L11" s="1"/>
      <c r="M11" s="1">
        <f t="shared" si="1"/>
        <v>0</v>
      </c>
      <c r="N11" s="2"/>
      <c r="O11" s="2"/>
      <c r="P11" s="2">
        <v>2</v>
      </c>
      <c r="Q11" s="2"/>
      <c r="R11" s="3">
        <f t="shared" si="2"/>
        <v>0</v>
      </c>
      <c r="S11" s="2"/>
      <c r="T11" s="2">
        <f t="shared" si="3"/>
        <v>0</v>
      </c>
      <c r="U11" s="1"/>
      <c r="V11" s="1"/>
      <c r="W11" s="1">
        <v>2</v>
      </c>
      <c r="X11" s="1"/>
      <c r="Y11" s="10">
        <f t="shared" si="4"/>
        <v>0</v>
      </c>
      <c r="Z11" s="1"/>
      <c r="AA11" s="1">
        <f t="shared" si="5"/>
        <v>0</v>
      </c>
      <c r="AB11" s="2"/>
      <c r="AC11" s="2"/>
      <c r="AD11" s="2">
        <v>2</v>
      </c>
      <c r="AE11" s="2"/>
      <c r="AF11" s="3">
        <f t="shared" si="6"/>
        <v>0</v>
      </c>
      <c r="AG11" s="2"/>
      <c r="AH11" s="2">
        <f t="shared" si="7"/>
        <v>0</v>
      </c>
      <c r="AI11" s="1"/>
      <c r="AJ11" s="1"/>
      <c r="AK11" s="1">
        <v>2</v>
      </c>
      <c r="AL11" s="1"/>
      <c r="AM11" s="10">
        <f t="shared" si="8"/>
        <v>0</v>
      </c>
      <c r="AN11" s="1"/>
      <c r="AO11" s="1">
        <f t="shared" si="9"/>
        <v>0</v>
      </c>
      <c r="AP11" s="2"/>
      <c r="AQ11" s="2"/>
      <c r="AR11" s="2">
        <v>2</v>
      </c>
      <c r="AS11" s="2"/>
      <c r="AT11" s="3">
        <f t="shared" si="10"/>
        <v>0</v>
      </c>
      <c r="AU11" s="2"/>
      <c r="AV11" s="2">
        <f t="shared" si="11"/>
        <v>0</v>
      </c>
      <c r="AW11" s="1"/>
      <c r="AX11" s="1"/>
      <c r="AY11" s="1">
        <v>2</v>
      </c>
      <c r="AZ11" s="1"/>
      <c r="BA11" s="10">
        <f t="shared" si="12"/>
        <v>0</v>
      </c>
      <c r="BB11" s="1"/>
      <c r="BC11" s="1">
        <f t="shared" si="13"/>
        <v>0</v>
      </c>
      <c r="BD11" s="2"/>
      <c r="BE11" s="2"/>
      <c r="BF11" s="2">
        <v>2</v>
      </c>
      <c r="BG11" s="2"/>
      <c r="BH11" s="3">
        <f t="shared" si="14"/>
        <v>0</v>
      </c>
      <c r="BI11" s="2"/>
      <c r="BJ11" s="2">
        <f t="shared" si="15"/>
        <v>0</v>
      </c>
      <c r="BK11" s="1"/>
      <c r="BL11" s="1"/>
      <c r="BM11" s="1">
        <v>2</v>
      </c>
      <c r="BN11" s="1"/>
      <c r="BO11" s="10">
        <f t="shared" si="16"/>
        <v>0</v>
      </c>
      <c r="BP11" s="1"/>
      <c r="BQ11" s="1">
        <f t="shared" si="17"/>
        <v>0</v>
      </c>
      <c r="BR11" s="2"/>
      <c r="BS11" s="2"/>
      <c r="BT11" s="2">
        <v>2</v>
      </c>
      <c r="BU11" s="2"/>
      <c r="BV11" s="3">
        <f t="shared" si="18"/>
        <v>0</v>
      </c>
      <c r="BW11" s="2"/>
      <c r="BX11" s="2">
        <f t="shared" si="19"/>
        <v>0</v>
      </c>
      <c r="BY11" s="1"/>
      <c r="BZ11" s="1"/>
      <c r="CA11" s="1">
        <v>2</v>
      </c>
      <c r="CB11" s="1"/>
      <c r="CC11" s="10">
        <f t="shared" si="20"/>
        <v>0</v>
      </c>
      <c r="CD11" s="1"/>
      <c r="CE11" s="1">
        <f t="shared" si="21"/>
        <v>0</v>
      </c>
      <c r="CF11" s="2"/>
      <c r="CG11" s="2"/>
      <c r="CH11" s="2">
        <v>2</v>
      </c>
      <c r="CI11" s="2"/>
      <c r="CJ11" s="3">
        <f t="shared" si="22"/>
        <v>0</v>
      </c>
      <c r="CK11" s="2"/>
      <c r="CL11" s="2">
        <f t="shared" si="23"/>
        <v>0</v>
      </c>
      <c r="CM11" s="1"/>
      <c r="CN11" s="1"/>
      <c r="CO11" s="1">
        <v>2</v>
      </c>
      <c r="CP11" s="1"/>
      <c r="CQ11" s="10">
        <f t="shared" si="24"/>
        <v>0</v>
      </c>
      <c r="CR11" s="1"/>
      <c r="CS11" s="1">
        <f t="shared" si="25"/>
        <v>0</v>
      </c>
      <c r="CT11" s="2"/>
      <c r="CU11" s="2"/>
      <c r="CV11" s="2">
        <v>2</v>
      </c>
      <c r="CW11" s="2"/>
      <c r="CX11" s="3">
        <f t="shared" si="26"/>
        <v>0</v>
      </c>
      <c r="CY11" s="2"/>
      <c r="CZ11" s="2">
        <f t="shared" si="27"/>
        <v>0</v>
      </c>
      <c r="DA11" s="1"/>
      <c r="DB11" s="1"/>
      <c r="DC11" s="1">
        <v>2</v>
      </c>
      <c r="DD11" s="1"/>
      <c r="DE11" s="10">
        <f t="shared" si="28"/>
        <v>0</v>
      </c>
      <c r="DF11" s="1"/>
      <c r="DG11" s="1">
        <f t="shared" si="29"/>
        <v>0</v>
      </c>
      <c r="DH11" s="2"/>
      <c r="DI11" s="2"/>
      <c r="DJ11" s="2">
        <v>2</v>
      </c>
      <c r="DK11" s="2"/>
      <c r="DL11" s="3">
        <f t="shared" si="30"/>
        <v>0</v>
      </c>
      <c r="DM11" s="2"/>
      <c r="DN11" s="2">
        <f t="shared" si="31"/>
        <v>0</v>
      </c>
      <c r="DO11" s="1"/>
      <c r="DP11" s="1"/>
      <c r="DQ11" s="1">
        <v>2</v>
      </c>
      <c r="DR11" s="1"/>
      <c r="DS11" s="10">
        <f t="shared" si="32"/>
        <v>0</v>
      </c>
      <c r="DT11" s="1"/>
      <c r="DU11" s="1">
        <f t="shared" si="33"/>
        <v>0</v>
      </c>
      <c r="DV11" s="2"/>
      <c r="DW11" s="2"/>
      <c r="DX11" s="2">
        <v>2</v>
      </c>
      <c r="DY11" s="2"/>
      <c r="DZ11" s="3">
        <f t="shared" si="34"/>
        <v>0</v>
      </c>
      <c r="EA11" s="2"/>
      <c r="EB11" s="2">
        <f t="shared" si="35"/>
        <v>0</v>
      </c>
      <c r="EC11" s="1"/>
      <c r="ED11" s="1"/>
      <c r="EE11" s="1">
        <v>2</v>
      </c>
      <c r="EF11" s="1"/>
      <c r="EG11" s="10">
        <f t="shared" si="36"/>
        <v>0</v>
      </c>
      <c r="EH11" s="1"/>
      <c r="EI11" s="1">
        <f t="shared" si="37"/>
        <v>0</v>
      </c>
      <c r="EJ11" s="2"/>
      <c r="EK11" s="2"/>
      <c r="EL11" s="2">
        <v>2</v>
      </c>
      <c r="EM11" s="2"/>
      <c r="EN11" s="3">
        <f t="shared" si="38"/>
        <v>0</v>
      </c>
      <c r="EO11" s="2"/>
      <c r="EP11" s="2">
        <f t="shared" si="39"/>
        <v>0</v>
      </c>
      <c r="EQ11" s="72"/>
      <c r="ER11" s="72"/>
      <c r="ES11" s="72">
        <v>2</v>
      </c>
      <c r="ET11" s="72"/>
      <c r="EU11" s="73">
        <f t="shared" si="40"/>
        <v>0</v>
      </c>
      <c r="EV11" s="72"/>
      <c r="EW11" s="72">
        <f t="shared" si="41"/>
        <v>0</v>
      </c>
      <c r="EX11" s="68"/>
      <c r="EY11" s="68"/>
      <c r="EZ11" s="68">
        <v>2</v>
      </c>
      <c r="FA11" s="68"/>
      <c r="FB11" s="10">
        <f t="shared" si="42"/>
        <v>0</v>
      </c>
      <c r="FC11" s="68"/>
      <c r="FD11" s="68">
        <f t="shared" si="43"/>
        <v>0</v>
      </c>
      <c r="FE11" s="72"/>
      <c r="FF11" s="72"/>
      <c r="FG11" s="72">
        <v>2</v>
      </c>
      <c r="FH11" s="72"/>
      <c r="FI11" s="73">
        <f t="shared" si="44"/>
        <v>0</v>
      </c>
      <c r="FJ11" s="72"/>
      <c r="FK11" s="72">
        <f t="shared" si="45"/>
        <v>0</v>
      </c>
      <c r="FL11" s="68"/>
      <c r="FM11" s="68"/>
      <c r="FN11" s="68">
        <v>2</v>
      </c>
      <c r="FO11" s="68"/>
      <c r="FP11" s="10">
        <f t="shared" si="46"/>
        <v>0</v>
      </c>
      <c r="FQ11" s="68"/>
      <c r="FR11" s="68">
        <f t="shared" si="47"/>
        <v>0</v>
      </c>
      <c r="FS11" s="72"/>
      <c r="FT11" s="72"/>
      <c r="FU11" s="72">
        <v>2</v>
      </c>
      <c r="FV11" s="72"/>
      <c r="FW11" s="73">
        <f t="shared" si="48"/>
        <v>0</v>
      </c>
      <c r="FX11" s="72"/>
      <c r="FY11" s="72">
        <f t="shared" si="49"/>
        <v>0</v>
      </c>
      <c r="FZ11" s="72"/>
      <c r="GA11" s="72"/>
      <c r="GB11" s="72">
        <v>2</v>
      </c>
      <c r="GC11" s="72"/>
      <c r="GD11" s="73">
        <f t="shared" si="50"/>
        <v>0</v>
      </c>
      <c r="GE11" s="72"/>
      <c r="GF11" s="72">
        <f t="shared" si="51"/>
        <v>0</v>
      </c>
      <c r="GG11" s="68"/>
      <c r="GH11" s="68"/>
      <c r="GI11" s="68">
        <v>2</v>
      </c>
      <c r="GJ11" s="68"/>
      <c r="GK11" s="10">
        <f t="shared" si="52"/>
        <v>0</v>
      </c>
      <c r="GL11" s="68"/>
      <c r="GM11" s="68">
        <f t="shared" si="53"/>
        <v>0</v>
      </c>
      <c r="GN11" s="72"/>
      <c r="GO11" s="72"/>
      <c r="GP11" s="72">
        <v>2</v>
      </c>
      <c r="GQ11" s="72"/>
      <c r="GR11" s="73">
        <f t="shared" si="54"/>
        <v>0</v>
      </c>
      <c r="GS11" s="72"/>
      <c r="GT11" s="72">
        <f t="shared" si="55"/>
        <v>0</v>
      </c>
      <c r="GU11" s="68"/>
      <c r="GV11" s="68"/>
      <c r="GW11" s="68">
        <v>2</v>
      </c>
      <c r="GX11" s="68"/>
      <c r="GY11" s="10">
        <f t="shared" si="56"/>
        <v>0</v>
      </c>
      <c r="GZ11" s="68"/>
      <c r="HA11" s="68">
        <f t="shared" si="57"/>
        <v>0</v>
      </c>
      <c r="HB11" s="72"/>
      <c r="HC11" s="72"/>
      <c r="HD11" s="72">
        <v>2</v>
      </c>
      <c r="HE11" s="72"/>
      <c r="HF11" s="73">
        <f t="shared" si="58"/>
        <v>0</v>
      </c>
      <c r="HG11" s="72"/>
      <c r="HH11" s="72">
        <f t="shared" si="59"/>
        <v>0</v>
      </c>
      <c r="HI11" s="72"/>
      <c r="HJ11" s="72"/>
      <c r="HK11" s="72">
        <v>2</v>
      </c>
      <c r="HL11" s="72"/>
      <c r="HM11" s="73">
        <f t="shared" si="60"/>
        <v>0</v>
      </c>
      <c r="HN11" s="72"/>
      <c r="HO11" s="72">
        <f t="shared" si="61"/>
        <v>0</v>
      </c>
      <c r="HP11" s="68"/>
      <c r="HQ11" s="68"/>
      <c r="HR11" s="68">
        <v>2</v>
      </c>
      <c r="HS11" s="68"/>
      <c r="HT11" s="10">
        <f t="shared" si="62"/>
        <v>0</v>
      </c>
      <c r="HU11" s="68"/>
      <c r="HV11" s="68">
        <f t="shared" si="63"/>
        <v>0</v>
      </c>
      <c r="HW11" s="72"/>
      <c r="HX11" s="72"/>
      <c r="HY11" s="72">
        <v>2</v>
      </c>
      <c r="HZ11" s="72"/>
      <c r="IA11" s="73">
        <f t="shared" si="64"/>
        <v>0</v>
      </c>
      <c r="IB11" s="72"/>
      <c r="IC11" s="72">
        <f t="shared" si="65"/>
        <v>0</v>
      </c>
      <c r="ID11" s="68"/>
      <c r="IE11" s="68"/>
      <c r="IF11" s="68">
        <v>2</v>
      </c>
      <c r="IG11" s="68"/>
      <c r="IH11" s="10">
        <f t="shared" si="66"/>
        <v>0</v>
      </c>
      <c r="II11" s="68"/>
      <c r="IJ11" s="68">
        <f t="shared" si="67"/>
        <v>0</v>
      </c>
      <c r="IK11" s="72"/>
      <c r="IL11" s="72"/>
      <c r="IM11" s="72">
        <v>2</v>
      </c>
      <c r="IN11" s="72"/>
      <c r="IO11" s="73">
        <f t="shared" si="68"/>
        <v>0</v>
      </c>
      <c r="IP11" s="72"/>
      <c r="IQ11" s="72">
        <f t="shared" si="69"/>
        <v>0</v>
      </c>
    </row>
    <row r="12" spans="1:251" ht="22.5" customHeight="1">
      <c r="A12" s="69" t="s">
        <v>85</v>
      </c>
      <c r="B12" s="71"/>
      <c r="C12" s="72" t="s">
        <v>86</v>
      </c>
      <c r="D12" s="72" t="s">
        <v>87</v>
      </c>
      <c r="E12" s="72" t="s">
        <v>88</v>
      </c>
      <c r="F12" s="72" t="s">
        <v>55</v>
      </c>
      <c r="G12" s="1"/>
      <c r="H12" s="1"/>
      <c r="I12" s="1">
        <v>2</v>
      </c>
      <c r="J12" s="1"/>
      <c r="K12" s="10">
        <f t="shared" si="0"/>
        <v>0</v>
      </c>
      <c r="L12" s="1"/>
      <c r="M12" s="1">
        <f t="shared" si="1"/>
        <v>0</v>
      </c>
      <c r="N12" s="2"/>
      <c r="O12" s="2"/>
      <c r="P12" s="2">
        <v>2</v>
      </c>
      <c r="Q12" s="2"/>
      <c r="R12" s="3">
        <f t="shared" si="2"/>
        <v>0</v>
      </c>
      <c r="S12" s="2"/>
      <c r="T12" s="2">
        <f t="shared" si="3"/>
        <v>0</v>
      </c>
      <c r="U12" s="1"/>
      <c r="V12" s="1"/>
      <c r="W12" s="1">
        <v>2</v>
      </c>
      <c r="X12" s="1"/>
      <c r="Y12" s="10">
        <f t="shared" si="4"/>
        <v>0</v>
      </c>
      <c r="Z12" s="1"/>
      <c r="AA12" s="1">
        <f t="shared" si="5"/>
        <v>0</v>
      </c>
      <c r="AB12" s="2"/>
      <c r="AC12" s="2"/>
      <c r="AD12" s="2">
        <v>2</v>
      </c>
      <c r="AE12" s="2"/>
      <c r="AF12" s="3">
        <f t="shared" si="6"/>
        <v>0</v>
      </c>
      <c r="AG12" s="2"/>
      <c r="AH12" s="2">
        <f t="shared" si="7"/>
        <v>0</v>
      </c>
      <c r="AI12" s="1"/>
      <c r="AJ12" s="1"/>
      <c r="AK12" s="1">
        <v>2</v>
      </c>
      <c r="AL12" s="1"/>
      <c r="AM12" s="10">
        <f t="shared" si="8"/>
        <v>0</v>
      </c>
      <c r="AN12" s="1"/>
      <c r="AO12" s="1">
        <f t="shared" si="9"/>
        <v>0</v>
      </c>
      <c r="AP12" s="2"/>
      <c r="AQ12" s="2"/>
      <c r="AR12" s="2">
        <v>2</v>
      </c>
      <c r="AS12" s="2"/>
      <c r="AT12" s="3">
        <f t="shared" si="10"/>
        <v>0</v>
      </c>
      <c r="AU12" s="2"/>
      <c r="AV12" s="2">
        <f t="shared" si="11"/>
        <v>0</v>
      </c>
      <c r="AW12" s="1"/>
      <c r="AX12" s="1"/>
      <c r="AY12" s="1">
        <v>2</v>
      </c>
      <c r="AZ12" s="1"/>
      <c r="BA12" s="10">
        <f t="shared" si="12"/>
        <v>0</v>
      </c>
      <c r="BB12" s="1"/>
      <c r="BC12" s="1">
        <f t="shared" si="13"/>
        <v>0</v>
      </c>
      <c r="BD12" s="2"/>
      <c r="BE12" s="2"/>
      <c r="BF12" s="2">
        <v>2</v>
      </c>
      <c r="BG12" s="2"/>
      <c r="BH12" s="3">
        <f t="shared" si="14"/>
        <v>0</v>
      </c>
      <c r="BI12" s="2"/>
      <c r="BJ12" s="2">
        <f t="shared" si="15"/>
        <v>0</v>
      </c>
      <c r="BK12" s="1"/>
      <c r="BL12" s="1"/>
      <c r="BM12" s="1">
        <v>2</v>
      </c>
      <c r="BN12" s="1"/>
      <c r="BO12" s="10">
        <f t="shared" si="16"/>
        <v>0</v>
      </c>
      <c r="BP12" s="1"/>
      <c r="BQ12" s="1">
        <f t="shared" si="17"/>
        <v>0</v>
      </c>
      <c r="BR12" s="2"/>
      <c r="BS12" s="2"/>
      <c r="BT12" s="2">
        <v>2</v>
      </c>
      <c r="BU12" s="2"/>
      <c r="BV12" s="3">
        <f t="shared" si="18"/>
        <v>0</v>
      </c>
      <c r="BW12" s="2"/>
      <c r="BX12" s="2">
        <f t="shared" si="19"/>
        <v>0</v>
      </c>
      <c r="BY12" s="1"/>
      <c r="BZ12" s="1"/>
      <c r="CA12" s="1">
        <v>2</v>
      </c>
      <c r="CB12" s="1"/>
      <c r="CC12" s="10">
        <f t="shared" si="20"/>
        <v>0</v>
      </c>
      <c r="CD12" s="1"/>
      <c r="CE12" s="1">
        <f t="shared" si="21"/>
        <v>0</v>
      </c>
      <c r="CF12" s="2"/>
      <c r="CG12" s="2"/>
      <c r="CH12" s="2">
        <v>2</v>
      </c>
      <c r="CI12" s="2"/>
      <c r="CJ12" s="3">
        <f t="shared" si="22"/>
        <v>0</v>
      </c>
      <c r="CK12" s="2"/>
      <c r="CL12" s="2">
        <f t="shared" si="23"/>
        <v>0</v>
      </c>
      <c r="CM12" s="1"/>
      <c r="CN12" s="1"/>
      <c r="CO12" s="1">
        <v>2</v>
      </c>
      <c r="CP12" s="1"/>
      <c r="CQ12" s="10">
        <f t="shared" si="24"/>
        <v>0</v>
      </c>
      <c r="CR12" s="1"/>
      <c r="CS12" s="1">
        <f t="shared" si="25"/>
        <v>0</v>
      </c>
      <c r="CT12" s="2"/>
      <c r="CU12" s="2"/>
      <c r="CV12" s="2">
        <v>2</v>
      </c>
      <c r="CW12" s="2"/>
      <c r="CX12" s="3">
        <f t="shared" si="26"/>
        <v>0</v>
      </c>
      <c r="CY12" s="2"/>
      <c r="CZ12" s="2">
        <f t="shared" si="27"/>
        <v>0</v>
      </c>
      <c r="DA12" s="1"/>
      <c r="DB12" s="1"/>
      <c r="DC12" s="1">
        <v>2</v>
      </c>
      <c r="DD12" s="1"/>
      <c r="DE12" s="10">
        <f t="shared" si="28"/>
        <v>0</v>
      </c>
      <c r="DF12" s="1"/>
      <c r="DG12" s="1">
        <f t="shared" si="29"/>
        <v>0</v>
      </c>
      <c r="DH12" s="2"/>
      <c r="DI12" s="2"/>
      <c r="DJ12" s="2">
        <v>2</v>
      </c>
      <c r="DK12" s="2"/>
      <c r="DL12" s="3">
        <f t="shared" si="30"/>
        <v>0</v>
      </c>
      <c r="DM12" s="2"/>
      <c r="DN12" s="2">
        <f t="shared" si="31"/>
        <v>0</v>
      </c>
      <c r="DO12" s="1"/>
      <c r="DP12" s="1"/>
      <c r="DQ12" s="1">
        <v>2</v>
      </c>
      <c r="DR12" s="1"/>
      <c r="DS12" s="10">
        <f t="shared" si="32"/>
        <v>0</v>
      </c>
      <c r="DT12" s="1"/>
      <c r="DU12" s="1">
        <f t="shared" si="33"/>
        <v>0</v>
      </c>
      <c r="DV12" s="2"/>
      <c r="DW12" s="2"/>
      <c r="DX12" s="2">
        <v>2</v>
      </c>
      <c r="DY12" s="2"/>
      <c r="DZ12" s="3">
        <f t="shared" si="34"/>
        <v>0</v>
      </c>
      <c r="EA12" s="2"/>
      <c r="EB12" s="2">
        <f t="shared" si="35"/>
        <v>0</v>
      </c>
      <c r="EC12" s="1"/>
      <c r="ED12" s="1"/>
      <c r="EE12" s="1">
        <v>2</v>
      </c>
      <c r="EF12" s="1"/>
      <c r="EG12" s="10">
        <f t="shared" si="36"/>
        <v>0</v>
      </c>
      <c r="EH12" s="1"/>
      <c r="EI12" s="1">
        <f t="shared" si="37"/>
        <v>0</v>
      </c>
      <c r="EJ12" s="2"/>
      <c r="EK12" s="2"/>
      <c r="EL12" s="2">
        <v>2</v>
      </c>
      <c r="EM12" s="2"/>
      <c r="EN12" s="3">
        <f t="shared" si="38"/>
        <v>0</v>
      </c>
      <c r="EO12" s="2"/>
      <c r="EP12" s="2">
        <f t="shared" si="39"/>
        <v>0</v>
      </c>
      <c r="EQ12" s="72"/>
      <c r="ER12" s="72"/>
      <c r="ES12" s="72">
        <v>2</v>
      </c>
      <c r="ET12" s="72"/>
      <c r="EU12" s="73">
        <f t="shared" si="40"/>
        <v>0</v>
      </c>
      <c r="EV12" s="72"/>
      <c r="EW12" s="72">
        <f t="shared" si="41"/>
        <v>0</v>
      </c>
      <c r="EX12" s="68"/>
      <c r="EY12" s="68"/>
      <c r="EZ12" s="68">
        <v>2</v>
      </c>
      <c r="FA12" s="68"/>
      <c r="FB12" s="10">
        <f t="shared" si="42"/>
        <v>0</v>
      </c>
      <c r="FC12" s="68"/>
      <c r="FD12" s="68">
        <f t="shared" si="43"/>
        <v>0</v>
      </c>
      <c r="FE12" s="72"/>
      <c r="FF12" s="72"/>
      <c r="FG12" s="72">
        <v>2</v>
      </c>
      <c r="FH12" s="72"/>
      <c r="FI12" s="73">
        <f t="shared" si="44"/>
        <v>0</v>
      </c>
      <c r="FJ12" s="72"/>
      <c r="FK12" s="72">
        <f t="shared" si="45"/>
        <v>0</v>
      </c>
      <c r="FL12" s="68"/>
      <c r="FM12" s="68"/>
      <c r="FN12" s="68">
        <v>2</v>
      </c>
      <c r="FO12" s="68"/>
      <c r="FP12" s="10">
        <f t="shared" si="46"/>
        <v>0</v>
      </c>
      <c r="FQ12" s="68"/>
      <c r="FR12" s="68">
        <f t="shared" si="47"/>
        <v>0</v>
      </c>
      <c r="FS12" s="72"/>
      <c r="FT12" s="72"/>
      <c r="FU12" s="72">
        <v>2</v>
      </c>
      <c r="FV12" s="72"/>
      <c r="FW12" s="73">
        <f t="shared" si="48"/>
        <v>0</v>
      </c>
      <c r="FX12" s="72"/>
      <c r="FY12" s="72">
        <f t="shared" si="49"/>
        <v>0</v>
      </c>
      <c r="FZ12" s="72"/>
      <c r="GA12" s="72"/>
      <c r="GB12" s="72">
        <v>2</v>
      </c>
      <c r="GC12" s="72"/>
      <c r="GD12" s="73">
        <f t="shared" si="50"/>
        <v>0</v>
      </c>
      <c r="GE12" s="72"/>
      <c r="GF12" s="72">
        <f t="shared" si="51"/>
        <v>0</v>
      </c>
      <c r="GG12" s="68"/>
      <c r="GH12" s="68"/>
      <c r="GI12" s="68">
        <v>2</v>
      </c>
      <c r="GJ12" s="68"/>
      <c r="GK12" s="10">
        <f t="shared" si="52"/>
        <v>0</v>
      </c>
      <c r="GL12" s="68"/>
      <c r="GM12" s="68">
        <f t="shared" si="53"/>
        <v>0</v>
      </c>
      <c r="GN12" s="72"/>
      <c r="GO12" s="72"/>
      <c r="GP12" s="72">
        <v>2</v>
      </c>
      <c r="GQ12" s="72"/>
      <c r="GR12" s="73">
        <f t="shared" si="54"/>
        <v>0</v>
      </c>
      <c r="GS12" s="72"/>
      <c r="GT12" s="72">
        <f t="shared" si="55"/>
        <v>0</v>
      </c>
      <c r="GU12" s="68"/>
      <c r="GV12" s="68"/>
      <c r="GW12" s="68">
        <v>2</v>
      </c>
      <c r="GX12" s="68"/>
      <c r="GY12" s="10">
        <f t="shared" si="56"/>
        <v>0</v>
      </c>
      <c r="GZ12" s="68"/>
      <c r="HA12" s="68">
        <f t="shared" si="57"/>
        <v>0</v>
      </c>
      <c r="HB12" s="72"/>
      <c r="HC12" s="72"/>
      <c r="HD12" s="72">
        <v>2</v>
      </c>
      <c r="HE12" s="72"/>
      <c r="HF12" s="73">
        <f t="shared" si="58"/>
        <v>0</v>
      </c>
      <c r="HG12" s="72"/>
      <c r="HH12" s="72">
        <f t="shared" si="59"/>
        <v>0</v>
      </c>
      <c r="HI12" s="72"/>
      <c r="HJ12" s="72"/>
      <c r="HK12" s="72">
        <v>2</v>
      </c>
      <c r="HL12" s="72"/>
      <c r="HM12" s="73">
        <f t="shared" si="60"/>
        <v>0</v>
      </c>
      <c r="HN12" s="72"/>
      <c r="HO12" s="72">
        <f t="shared" si="61"/>
        <v>0</v>
      </c>
      <c r="HP12" s="68"/>
      <c r="HQ12" s="68"/>
      <c r="HR12" s="68">
        <v>2</v>
      </c>
      <c r="HS12" s="68"/>
      <c r="HT12" s="10">
        <f t="shared" si="62"/>
        <v>0</v>
      </c>
      <c r="HU12" s="68"/>
      <c r="HV12" s="68">
        <f t="shared" si="63"/>
        <v>0</v>
      </c>
      <c r="HW12" s="72"/>
      <c r="HX12" s="72"/>
      <c r="HY12" s="72">
        <v>2</v>
      </c>
      <c r="HZ12" s="72"/>
      <c r="IA12" s="73">
        <f t="shared" si="64"/>
        <v>0</v>
      </c>
      <c r="IB12" s="72"/>
      <c r="IC12" s="72">
        <f t="shared" si="65"/>
        <v>0</v>
      </c>
      <c r="ID12" s="68"/>
      <c r="IE12" s="68"/>
      <c r="IF12" s="68">
        <v>2</v>
      </c>
      <c r="IG12" s="68"/>
      <c r="IH12" s="10">
        <f t="shared" si="66"/>
        <v>0</v>
      </c>
      <c r="II12" s="68"/>
      <c r="IJ12" s="68">
        <f t="shared" si="67"/>
        <v>0</v>
      </c>
      <c r="IK12" s="72"/>
      <c r="IL12" s="72"/>
      <c r="IM12" s="72">
        <v>2</v>
      </c>
      <c r="IN12" s="72"/>
      <c r="IO12" s="73">
        <f t="shared" si="68"/>
        <v>0</v>
      </c>
      <c r="IP12" s="72"/>
      <c r="IQ12" s="72">
        <f t="shared" si="69"/>
        <v>0</v>
      </c>
    </row>
    <row r="13" spans="1:251" ht="57" customHeight="1">
      <c r="A13" s="69" t="s">
        <v>89</v>
      </c>
      <c r="B13" s="71" t="s">
        <v>90</v>
      </c>
      <c r="C13" s="72" t="s">
        <v>12</v>
      </c>
      <c r="D13" s="72" t="s">
        <v>91</v>
      </c>
      <c r="E13" s="72" t="s">
        <v>13</v>
      </c>
      <c r="F13" s="72" t="s">
        <v>13</v>
      </c>
      <c r="G13" s="1"/>
      <c r="H13" s="1"/>
      <c r="I13" s="1">
        <v>2</v>
      </c>
      <c r="J13" s="1"/>
      <c r="K13" s="10">
        <f t="shared" si="0"/>
        <v>0</v>
      </c>
      <c r="L13" s="1"/>
      <c r="M13" s="1">
        <f t="shared" si="1"/>
        <v>0</v>
      </c>
      <c r="N13" s="2"/>
      <c r="O13" s="2"/>
      <c r="P13" s="2">
        <v>2</v>
      </c>
      <c r="Q13" s="2"/>
      <c r="R13" s="3">
        <f t="shared" si="2"/>
        <v>0</v>
      </c>
      <c r="S13" s="2"/>
      <c r="T13" s="2">
        <f t="shared" si="3"/>
        <v>0</v>
      </c>
      <c r="U13" s="1"/>
      <c r="V13" s="1"/>
      <c r="W13" s="1">
        <v>2</v>
      </c>
      <c r="X13" s="1"/>
      <c r="Y13" s="10">
        <f t="shared" si="4"/>
        <v>0</v>
      </c>
      <c r="Z13" s="1"/>
      <c r="AA13" s="1">
        <f t="shared" si="5"/>
        <v>0</v>
      </c>
      <c r="AB13" s="2"/>
      <c r="AC13" s="2"/>
      <c r="AD13" s="2">
        <v>2</v>
      </c>
      <c r="AE13" s="2"/>
      <c r="AF13" s="3">
        <f t="shared" si="6"/>
        <v>0</v>
      </c>
      <c r="AG13" s="2"/>
      <c r="AH13" s="2">
        <f t="shared" si="7"/>
        <v>0</v>
      </c>
      <c r="AI13" s="1"/>
      <c r="AJ13" s="1"/>
      <c r="AK13" s="1">
        <v>2</v>
      </c>
      <c r="AL13" s="1"/>
      <c r="AM13" s="10">
        <f t="shared" si="8"/>
        <v>0</v>
      </c>
      <c r="AN13" s="1"/>
      <c r="AO13" s="1">
        <f t="shared" si="9"/>
        <v>0</v>
      </c>
      <c r="AP13" s="2"/>
      <c r="AQ13" s="2"/>
      <c r="AR13" s="2">
        <v>2</v>
      </c>
      <c r="AS13" s="2"/>
      <c r="AT13" s="3">
        <f t="shared" si="10"/>
        <v>0</v>
      </c>
      <c r="AU13" s="2"/>
      <c r="AV13" s="2">
        <f t="shared" si="11"/>
        <v>0</v>
      </c>
      <c r="AW13" s="1"/>
      <c r="AX13" s="1"/>
      <c r="AY13" s="1">
        <v>2</v>
      </c>
      <c r="AZ13" s="1"/>
      <c r="BA13" s="10">
        <f t="shared" si="12"/>
        <v>0</v>
      </c>
      <c r="BB13" s="1"/>
      <c r="BC13" s="1">
        <f t="shared" si="13"/>
        <v>0</v>
      </c>
      <c r="BD13" s="2"/>
      <c r="BE13" s="2"/>
      <c r="BF13" s="2">
        <v>2</v>
      </c>
      <c r="BG13" s="2"/>
      <c r="BH13" s="3">
        <f t="shared" si="14"/>
        <v>0</v>
      </c>
      <c r="BI13" s="2"/>
      <c r="BJ13" s="2">
        <f t="shared" si="15"/>
        <v>0</v>
      </c>
      <c r="BK13" s="1"/>
      <c r="BL13" s="1"/>
      <c r="BM13" s="1">
        <v>2</v>
      </c>
      <c r="BN13" s="1"/>
      <c r="BO13" s="10">
        <f t="shared" si="16"/>
        <v>0</v>
      </c>
      <c r="BP13" s="1"/>
      <c r="BQ13" s="1">
        <f t="shared" si="17"/>
        <v>0</v>
      </c>
      <c r="BR13" s="2"/>
      <c r="BS13" s="2"/>
      <c r="BT13" s="2">
        <v>2</v>
      </c>
      <c r="BU13" s="2"/>
      <c r="BV13" s="3">
        <f t="shared" si="18"/>
        <v>0</v>
      </c>
      <c r="BW13" s="2"/>
      <c r="BX13" s="2">
        <f t="shared" si="19"/>
        <v>0</v>
      </c>
      <c r="BY13" s="1"/>
      <c r="BZ13" s="1"/>
      <c r="CA13" s="1">
        <v>2</v>
      </c>
      <c r="CB13" s="1"/>
      <c r="CC13" s="10">
        <f t="shared" si="20"/>
        <v>0</v>
      </c>
      <c r="CD13" s="1"/>
      <c r="CE13" s="1">
        <f t="shared" si="21"/>
        <v>0</v>
      </c>
      <c r="CF13" s="2"/>
      <c r="CG13" s="2"/>
      <c r="CH13" s="2">
        <v>2</v>
      </c>
      <c r="CI13" s="2"/>
      <c r="CJ13" s="3">
        <f t="shared" si="22"/>
        <v>0</v>
      </c>
      <c r="CK13" s="2"/>
      <c r="CL13" s="2">
        <f t="shared" si="23"/>
        <v>0</v>
      </c>
      <c r="CM13" s="1"/>
      <c r="CN13" s="1"/>
      <c r="CO13" s="1">
        <v>2</v>
      </c>
      <c r="CP13" s="1"/>
      <c r="CQ13" s="10">
        <f t="shared" si="24"/>
        <v>0</v>
      </c>
      <c r="CR13" s="1"/>
      <c r="CS13" s="1">
        <f t="shared" si="25"/>
        <v>0</v>
      </c>
      <c r="CT13" s="2"/>
      <c r="CU13" s="2"/>
      <c r="CV13" s="2">
        <v>2</v>
      </c>
      <c r="CW13" s="2"/>
      <c r="CX13" s="3">
        <f t="shared" si="26"/>
        <v>0</v>
      </c>
      <c r="CY13" s="2"/>
      <c r="CZ13" s="2">
        <f t="shared" si="27"/>
        <v>0</v>
      </c>
      <c r="DA13" s="1"/>
      <c r="DB13" s="1"/>
      <c r="DC13" s="1">
        <v>2</v>
      </c>
      <c r="DD13" s="1"/>
      <c r="DE13" s="10">
        <f t="shared" si="28"/>
        <v>0</v>
      </c>
      <c r="DF13" s="1"/>
      <c r="DG13" s="1">
        <f t="shared" si="29"/>
        <v>0</v>
      </c>
      <c r="DH13" s="2"/>
      <c r="DI13" s="2"/>
      <c r="DJ13" s="2">
        <v>2</v>
      </c>
      <c r="DK13" s="2"/>
      <c r="DL13" s="3">
        <f t="shared" si="30"/>
        <v>0</v>
      </c>
      <c r="DM13" s="2"/>
      <c r="DN13" s="2">
        <f t="shared" si="31"/>
        <v>0</v>
      </c>
      <c r="DO13" s="1"/>
      <c r="DP13" s="1"/>
      <c r="DQ13" s="1">
        <v>2</v>
      </c>
      <c r="DR13" s="1"/>
      <c r="DS13" s="10">
        <f t="shared" si="32"/>
        <v>0</v>
      </c>
      <c r="DT13" s="1"/>
      <c r="DU13" s="1">
        <f t="shared" si="33"/>
        <v>0</v>
      </c>
      <c r="DV13" s="2"/>
      <c r="DW13" s="2"/>
      <c r="DX13" s="2">
        <v>2</v>
      </c>
      <c r="DY13" s="2"/>
      <c r="DZ13" s="3">
        <f t="shared" si="34"/>
        <v>0</v>
      </c>
      <c r="EA13" s="2"/>
      <c r="EB13" s="2">
        <f t="shared" si="35"/>
        <v>0</v>
      </c>
      <c r="EC13" s="1"/>
      <c r="ED13" s="1"/>
      <c r="EE13" s="1">
        <v>2</v>
      </c>
      <c r="EF13" s="1"/>
      <c r="EG13" s="10">
        <f t="shared" si="36"/>
        <v>0</v>
      </c>
      <c r="EH13" s="1"/>
      <c r="EI13" s="1">
        <f t="shared" si="37"/>
        <v>0</v>
      </c>
      <c r="EJ13" s="2"/>
      <c r="EK13" s="2"/>
      <c r="EL13" s="2">
        <v>2</v>
      </c>
      <c r="EM13" s="2"/>
      <c r="EN13" s="3">
        <f t="shared" si="38"/>
        <v>0</v>
      </c>
      <c r="EO13" s="2"/>
      <c r="EP13" s="2">
        <f t="shared" si="39"/>
        <v>0</v>
      </c>
      <c r="EQ13" s="72"/>
      <c r="ER13" s="72"/>
      <c r="ES13" s="72">
        <v>2</v>
      </c>
      <c r="ET13" s="72"/>
      <c r="EU13" s="73">
        <f t="shared" si="40"/>
        <v>0</v>
      </c>
      <c r="EV13" s="72"/>
      <c r="EW13" s="72">
        <f t="shared" si="41"/>
        <v>0</v>
      </c>
      <c r="EX13" s="68"/>
      <c r="EY13" s="68"/>
      <c r="EZ13" s="68">
        <v>2</v>
      </c>
      <c r="FA13" s="68"/>
      <c r="FB13" s="10">
        <f t="shared" si="42"/>
        <v>0</v>
      </c>
      <c r="FC13" s="68"/>
      <c r="FD13" s="68">
        <f t="shared" si="43"/>
        <v>0</v>
      </c>
      <c r="FE13" s="72"/>
      <c r="FF13" s="72"/>
      <c r="FG13" s="72">
        <v>2</v>
      </c>
      <c r="FH13" s="72"/>
      <c r="FI13" s="73">
        <f t="shared" si="44"/>
        <v>0</v>
      </c>
      <c r="FJ13" s="72"/>
      <c r="FK13" s="72">
        <f t="shared" si="45"/>
        <v>0</v>
      </c>
      <c r="FL13" s="68"/>
      <c r="FM13" s="68"/>
      <c r="FN13" s="68">
        <v>2</v>
      </c>
      <c r="FO13" s="68"/>
      <c r="FP13" s="10">
        <f t="shared" si="46"/>
        <v>0</v>
      </c>
      <c r="FQ13" s="68"/>
      <c r="FR13" s="68">
        <f t="shared" si="47"/>
        <v>0</v>
      </c>
      <c r="FS13" s="72"/>
      <c r="FT13" s="72"/>
      <c r="FU13" s="72">
        <v>2</v>
      </c>
      <c r="FV13" s="72"/>
      <c r="FW13" s="73">
        <f t="shared" si="48"/>
        <v>0</v>
      </c>
      <c r="FX13" s="72"/>
      <c r="FY13" s="72">
        <f t="shared" si="49"/>
        <v>0</v>
      </c>
      <c r="FZ13" s="72"/>
      <c r="GA13" s="72"/>
      <c r="GB13" s="72">
        <v>2</v>
      </c>
      <c r="GC13" s="72"/>
      <c r="GD13" s="73">
        <f t="shared" si="50"/>
        <v>0</v>
      </c>
      <c r="GE13" s="72"/>
      <c r="GF13" s="72">
        <f t="shared" si="51"/>
        <v>0</v>
      </c>
      <c r="GG13" s="68"/>
      <c r="GH13" s="68"/>
      <c r="GI13" s="68">
        <v>2</v>
      </c>
      <c r="GJ13" s="68"/>
      <c r="GK13" s="10">
        <f t="shared" si="52"/>
        <v>0</v>
      </c>
      <c r="GL13" s="68"/>
      <c r="GM13" s="68">
        <f t="shared" si="53"/>
        <v>0</v>
      </c>
      <c r="GN13" s="72"/>
      <c r="GO13" s="72"/>
      <c r="GP13" s="72">
        <v>2</v>
      </c>
      <c r="GQ13" s="72"/>
      <c r="GR13" s="73">
        <f t="shared" si="54"/>
        <v>0</v>
      </c>
      <c r="GS13" s="72"/>
      <c r="GT13" s="72">
        <f t="shared" si="55"/>
        <v>0</v>
      </c>
      <c r="GU13" s="68"/>
      <c r="GV13" s="68"/>
      <c r="GW13" s="68">
        <v>2</v>
      </c>
      <c r="GX13" s="68"/>
      <c r="GY13" s="10">
        <f t="shared" si="56"/>
        <v>0</v>
      </c>
      <c r="GZ13" s="68"/>
      <c r="HA13" s="68">
        <f t="shared" si="57"/>
        <v>0</v>
      </c>
      <c r="HB13" s="72"/>
      <c r="HC13" s="72"/>
      <c r="HD13" s="72">
        <v>2</v>
      </c>
      <c r="HE13" s="72"/>
      <c r="HF13" s="73">
        <f t="shared" si="58"/>
        <v>0</v>
      </c>
      <c r="HG13" s="72"/>
      <c r="HH13" s="72">
        <f t="shared" si="59"/>
        <v>0</v>
      </c>
      <c r="HI13" s="72"/>
      <c r="HJ13" s="72"/>
      <c r="HK13" s="72">
        <v>2</v>
      </c>
      <c r="HL13" s="72"/>
      <c r="HM13" s="73">
        <f t="shared" si="60"/>
        <v>0</v>
      </c>
      <c r="HN13" s="72"/>
      <c r="HO13" s="72">
        <f t="shared" si="61"/>
        <v>0</v>
      </c>
      <c r="HP13" s="68"/>
      <c r="HQ13" s="68"/>
      <c r="HR13" s="68">
        <v>2</v>
      </c>
      <c r="HS13" s="68"/>
      <c r="HT13" s="10">
        <f t="shared" si="62"/>
        <v>0</v>
      </c>
      <c r="HU13" s="68"/>
      <c r="HV13" s="68">
        <f t="shared" si="63"/>
        <v>0</v>
      </c>
      <c r="HW13" s="72"/>
      <c r="HX13" s="72"/>
      <c r="HY13" s="72">
        <v>2</v>
      </c>
      <c r="HZ13" s="72"/>
      <c r="IA13" s="73">
        <f t="shared" si="64"/>
        <v>0</v>
      </c>
      <c r="IB13" s="72"/>
      <c r="IC13" s="72">
        <f t="shared" si="65"/>
        <v>0</v>
      </c>
      <c r="ID13" s="68"/>
      <c r="IE13" s="68"/>
      <c r="IF13" s="68">
        <v>2</v>
      </c>
      <c r="IG13" s="68"/>
      <c r="IH13" s="10">
        <f t="shared" si="66"/>
        <v>0</v>
      </c>
      <c r="II13" s="68"/>
      <c r="IJ13" s="68">
        <f t="shared" si="67"/>
        <v>0</v>
      </c>
      <c r="IK13" s="72"/>
      <c r="IL13" s="72"/>
      <c r="IM13" s="72">
        <v>2</v>
      </c>
      <c r="IN13" s="72"/>
      <c r="IO13" s="73">
        <f t="shared" si="68"/>
        <v>0</v>
      </c>
      <c r="IP13" s="72"/>
      <c r="IQ13" s="72">
        <f t="shared" si="69"/>
        <v>0</v>
      </c>
    </row>
    <row r="14" spans="1:251" s="89" customFormat="1" ht="57" customHeight="1" thickBot="1">
      <c r="A14" s="83" t="s">
        <v>92</v>
      </c>
      <c r="B14" s="84"/>
      <c r="C14" s="85"/>
      <c r="D14" s="85"/>
      <c r="E14" s="85"/>
      <c r="F14" s="85"/>
      <c r="G14" s="88"/>
      <c r="I14" s="88">
        <f>(SUM(I4:I13))/(AVERAGE(I4:I13))</f>
        <v>10</v>
      </c>
      <c r="J14" s="88"/>
      <c r="K14" s="90">
        <f>SUM(K4:K13)/(SUM(I4:I13))</f>
        <v>0</v>
      </c>
      <c r="L14" s="88"/>
      <c r="M14" s="88" t="e">
        <f>AVERAGE(L4:L13)</f>
        <v>#DIV/0!</v>
      </c>
      <c r="N14" s="88"/>
      <c r="P14" s="88">
        <f>(SUM(P4:P13))/(AVERAGE(P4:P13))</f>
        <v>10</v>
      </c>
      <c r="Q14" s="88"/>
      <c r="R14" s="90">
        <f>SUM(R4:R13)/(SUM(P4:P13))</f>
        <v>0</v>
      </c>
      <c r="S14" s="88"/>
      <c r="T14" s="88" t="e">
        <f>AVERAGE(S4:S13)</f>
        <v>#DIV/0!</v>
      </c>
      <c r="U14" s="88"/>
      <c r="W14" s="88">
        <f>(SUM(W4:W13))/(AVERAGE(W4:W13))</f>
        <v>10</v>
      </c>
      <c r="X14" s="88"/>
      <c r="Y14" s="90">
        <f>SUM(Y4:Y13)/(SUM(W4:W13))</f>
        <v>0</v>
      </c>
      <c r="Z14" s="88"/>
      <c r="AA14" s="88" t="e">
        <f>AVERAGE(Z4:Z13)</f>
        <v>#DIV/0!</v>
      </c>
      <c r="AB14" s="88"/>
      <c r="AD14" s="88">
        <f>(SUM(AD4:AD13))/(AVERAGE(AD4:AD13))</f>
        <v>10</v>
      </c>
      <c r="AE14" s="88"/>
      <c r="AF14" s="90">
        <f>SUM(AF4:AF13)/(SUM(AD4:AD13))</f>
        <v>0</v>
      </c>
      <c r="AG14" s="88"/>
      <c r="AH14" s="88" t="e">
        <f>AVERAGE(AG4:AG13)</f>
        <v>#DIV/0!</v>
      </c>
      <c r="AI14" s="88"/>
      <c r="AK14" s="88">
        <f>(SUM(AK4:AK13))/(AVERAGE(AK4:AK13))</f>
        <v>10</v>
      </c>
      <c r="AL14" s="88"/>
      <c r="AM14" s="90">
        <f>SUM(AM4:AM13)/(SUM(AK4:AK13))</f>
        <v>0</v>
      </c>
      <c r="AN14" s="88"/>
      <c r="AO14" s="88" t="e">
        <f>AVERAGE(AN4:AN13)</f>
        <v>#DIV/0!</v>
      </c>
      <c r="AP14" s="88"/>
      <c r="AR14" s="88">
        <f>(SUM(AR4:AR13))/(AVERAGE(AR4:AR13))</f>
        <v>10</v>
      </c>
      <c r="AS14" s="88"/>
      <c r="AT14" s="90">
        <f>SUM(AT4:AT13)/(SUM(AR4:AR13))</f>
        <v>0</v>
      </c>
      <c r="AU14" s="88"/>
      <c r="AV14" s="88" t="e">
        <f>AVERAGE(AU4:AU13)</f>
        <v>#DIV/0!</v>
      </c>
      <c r="AW14" s="88"/>
      <c r="AY14" s="88">
        <f>(SUM(AY4:AY13))/(AVERAGE(AY4:AY13))</f>
        <v>10</v>
      </c>
      <c r="AZ14" s="88"/>
      <c r="BA14" s="90">
        <f>SUM(BA4:BA13)/(SUM(AY4:AY13))</f>
        <v>0</v>
      </c>
      <c r="BB14" s="88"/>
      <c r="BC14" s="88" t="e">
        <f>AVERAGE(BB4:BB13)</f>
        <v>#DIV/0!</v>
      </c>
      <c r="BD14" s="88"/>
      <c r="BF14" s="88">
        <f>(SUM(BF4:BF13))/(AVERAGE(BF4:BF13))</f>
        <v>10</v>
      </c>
      <c r="BG14" s="88"/>
      <c r="BH14" s="90">
        <f>SUM(BH4:BH13)/(SUM(BF4:BF13))</f>
        <v>0</v>
      </c>
      <c r="BI14" s="88"/>
      <c r="BJ14" s="88" t="e">
        <f>AVERAGE(BI4:BI13)</f>
        <v>#DIV/0!</v>
      </c>
      <c r="BK14" s="88"/>
      <c r="BM14" s="88">
        <f>(SUM(BM4:BM13))/(AVERAGE(BM4:BM13))</f>
        <v>10</v>
      </c>
      <c r="BN14" s="88"/>
      <c r="BO14" s="90">
        <f>SUM(BO4:BO13)/(SUM(BM4:BM13))</f>
        <v>0</v>
      </c>
      <c r="BP14" s="88"/>
      <c r="BQ14" s="88" t="e">
        <f>AVERAGE(BP4:BP13)</f>
        <v>#DIV/0!</v>
      </c>
      <c r="BR14" s="88"/>
      <c r="BT14" s="88">
        <f>(SUM(BT4:BT13))/(AVERAGE(BT4:BT13))</f>
        <v>10</v>
      </c>
      <c r="BU14" s="88"/>
      <c r="BV14" s="90">
        <f>SUM(BV4:BV13)/(SUM(BT4:BT13))</f>
        <v>0</v>
      </c>
      <c r="BW14" s="88"/>
      <c r="BX14" s="88" t="e">
        <f>AVERAGE(BW4:BW13)</f>
        <v>#DIV/0!</v>
      </c>
      <c r="BY14" s="88"/>
      <c r="CA14" s="88">
        <f>(SUM(CA4:CA13))/(AVERAGE(CA4:CA13))</f>
        <v>10</v>
      </c>
      <c r="CB14" s="88"/>
      <c r="CC14" s="90">
        <f>SUM(CC4:CC13)/(SUM(CA4:CA13))</f>
        <v>0</v>
      </c>
      <c r="CD14" s="88"/>
      <c r="CE14" s="88" t="e">
        <f>AVERAGE(CD4:CD13)</f>
        <v>#DIV/0!</v>
      </c>
      <c r="CF14" s="88"/>
      <c r="CH14" s="88">
        <f>(SUM(CH4:CH13))/(AVERAGE(CH4:CH13))</f>
        <v>10</v>
      </c>
      <c r="CI14" s="88"/>
      <c r="CJ14" s="90">
        <f>SUM(CJ4:CJ13)/(SUM(CH4:CH13))</f>
        <v>0</v>
      </c>
      <c r="CK14" s="88"/>
      <c r="CL14" s="88" t="e">
        <f>AVERAGE(CK4:CK13)</f>
        <v>#DIV/0!</v>
      </c>
      <c r="CM14" s="88"/>
      <c r="CO14" s="88">
        <f>(SUM(CO4:CO13))/(AVERAGE(CO4:CO13))</f>
        <v>10</v>
      </c>
      <c r="CP14" s="88"/>
      <c r="CQ14" s="90">
        <f>SUM(CQ4:CQ13)/(SUM(CO4:CO13))</f>
        <v>0</v>
      </c>
      <c r="CR14" s="88"/>
      <c r="CS14" s="88" t="e">
        <f>AVERAGE(CR4:CR13)</f>
        <v>#DIV/0!</v>
      </c>
      <c r="CT14" s="88"/>
      <c r="CV14" s="88">
        <f>(SUM(CV4:CV13))/(AVERAGE(CV4:CV13))</f>
        <v>10</v>
      </c>
      <c r="CW14" s="88"/>
      <c r="CX14" s="90">
        <f>SUM(CX4:CX13)/(SUM(CV4:CV13))</f>
        <v>0</v>
      </c>
      <c r="CY14" s="88"/>
      <c r="CZ14" s="88" t="e">
        <f>AVERAGE(CY4:CY13)</f>
        <v>#DIV/0!</v>
      </c>
      <c r="DA14" s="88"/>
      <c r="DC14" s="88">
        <f>(SUM(DC4:DC13))/(AVERAGE(DC4:DC13))</f>
        <v>10</v>
      </c>
      <c r="DD14" s="88"/>
      <c r="DE14" s="90">
        <f>SUM(DE4:DE13)/(SUM(DC4:DC13))</f>
        <v>0</v>
      </c>
      <c r="DF14" s="88"/>
      <c r="DG14" s="88" t="e">
        <f>AVERAGE(DF4:DF13)</f>
        <v>#DIV/0!</v>
      </c>
      <c r="DH14" s="88"/>
      <c r="DJ14" s="88">
        <f>(SUM(DJ4:DJ13))/(AVERAGE(DJ4:DJ13))</f>
        <v>10</v>
      </c>
      <c r="DK14" s="88"/>
      <c r="DL14" s="90">
        <f>SUM(DL4:DL13)/(SUM(DJ4:DJ13))</f>
        <v>0</v>
      </c>
      <c r="DM14" s="88"/>
      <c r="DN14" s="88" t="e">
        <f>AVERAGE(DM4:DM13)</f>
        <v>#DIV/0!</v>
      </c>
      <c r="DO14" s="88"/>
      <c r="DQ14" s="88">
        <f>(SUM(DQ4:DQ13))/(AVERAGE(DQ4:DQ13))</f>
        <v>10</v>
      </c>
      <c r="DR14" s="88"/>
      <c r="DS14" s="90">
        <f>SUM(DS4:DS13)/(SUM(DQ4:DQ13))</f>
        <v>0</v>
      </c>
      <c r="DT14" s="88"/>
      <c r="DU14" s="88" t="e">
        <f>AVERAGE(DT4:DT13)</f>
        <v>#DIV/0!</v>
      </c>
      <c r="DV14" s="88"/>
      <c r="DX14" s="88">
        <f>(SUM(DX4:DX13))/(AVERAGE(DX4:DX13))</f>
        <v>10</v>
      </c>
      <c r="DY14" s="88"/>
      <c r="DZ14" s="90">
        <f>SUM(DZ4:DZ13)/(SUM(DX4:DX13))</f>
        <v>0</v>
      </c>
      <c r="EA14" s="88"/>
      <c r="EB14" s="88" t="e">
        <f>AVERAGE(EA4:EA13)</f>
        <v>#DIV/0!</v>
      </c>
      <c r="EC14" s="88"/>
      <c r="EE14" s="88">
        <f>(SUM(EE4:EE13))/(AVERAGE(EE4:EE13))</f>
        <v>10</v>
      </c>
      <c r="EF14" s="88"/>
      <c r="EG14" s="90">
        <f>SUM(EG4:EG13)/(SUM(EE4:EE13))</f>
        <v>0</v>
      </c>
      <c r="EH14" s="88"/>
      <c r="EI14" s="88" t="e">
        <f>AVERAGE(EH4:EH13)</f>
        <v>#DIV/0!</v>
      </c>
      <c r="EJ14" s="88"/>
      <c r="EL14" s="88">
        <f>(SUM(EL4:EL13))/(AVERAGE(EL4:EL13))</f>
        <v>10</v>
      </c>
      <c r="EM14" s="88"/>
      <c r="EN14" s="90">
        <f>SUM(EN4:EN13)/(SUM(EL4:EL13))</f>
        <v>0</v>
      </c>
      <c r="EO14" s="88"/>
      <c r="EP14" s="88" t="e">
        <f>AVERAGE(EO4:EO13)</f>
        <v>#DIV/0!</v>
      </c>
      <c r="EQ14" s="88"/>
      <c r="ES14" s="88">
        <f>(SUM(ES4:ES13))/(AVERAGE(ES4:ES13))</f>
        <v>10</v>
      </c>
      <c r="ET14" s="88"/>
      <c r="EU14" s="90">
        <f>SUM(EU4:EU13)/(SUM(ES4:ES13))</f>
        <v>0</v>
      </c>
      <c r="EV14" s="88"/>
      <c r="EW14" s="88" t="e">
        <f>AVERAGE(EV4:EV13)</f>
        <v>#DIV/0!</v>
      </c>
      <c r="EX14" s="88"/>
      <c r="EZ14" s="88">
        <f>(SUM(EZ4:EZ13))/(AVERAGE(EZ4:EZ13))</f>
        <v>10</v>
      </c>
      <c r="FA14" s="88"/>
      <c r="FB14" s="90">
        <f>SUM(FB4:FB13)/(SUM(EZ4:EZ13))</f>
        <v>0</v>
      </c>
      <c r="FC14" s="88"/>
      <c r="FD14" s="88" t="e">
        <f>AVERAGE(FC4:FC13)</f>
        <v>#DIV/0!</v>
      </c>
      <c r="FE14" s="88"/>
      <c r="FG14" s="88">
        <f>(SUM(FG4:FG13))/(AVERAGE(FG4:FG13))</f>
        <v>10</v>
      </c>
      <c r="FH14" s="88"/>
      <c r="FI14" s="90">
        <f>SUM(FI4:FI13)/(SUM(FG4:FG13))</f>
        <v>0</v>
      </c>
      <c r="FJ14" s="88"/>
      <c r="FK14" s="88" t="e">
        <f>AVERAGE(FJ4:FJ13)</f>
        <v>#DIV/0!</v>
      </c>
      <c r="FL14" s="88"/>
      <c r="FN14" s="88">
        <f>(SUM(FN4:FN13))/(AVERAGE(FN4:FN13))</f>
        <v>10</v>
      </c>
      <c r="FO14" s="88"/>
      <c r="FP14" s="90">
        <f>SUM(FP4:FP13)/(SUM(FN4:FN13))</f>
        <v>0</v>
      </c>
      <c r="FQ14" s="88"/>
      <c r="FR14" s="88" t="e">
        <f>AVERAGE(FQ4:FQ13)</f>
        <v>#DIV/0!</v>
      </c>
      <c r="FS14" s="88"/>
      <c r="FU14" s="88">
        <f>(SUM(FU4:FU13))/(AVERAGE(FU4:FU13))</f>
        <v>10</v>
      </c>
      <c r="FV14" s="88"/>
      <c r="FW14" s="90">
        <f>SUM(FW4:FW13)/(SUM(FU4:FU13))</f>
        <v>0</v>
      </c>
      <c r="FX14" s="88"/>
      <c r="FY14" s="88" t="e">
        <f>AVERAGE(FX4:FX13)</f>
        <v>#DIV/0!</v>
      </c>
      <c r="FZ14" s="88"/>
      <c r="GB14" s="88">
        <f>(SUM(GB4:GB13))/(AVERAGE(GB4:GB13))</f>
        <v>10</v>
      </c>
      <c r="GC14" s="88"/>
      <c r="GD14" s="90">
        <f>SUM(GD4:GD13)/(SUM(GB4:GB13))</f>
        <v>0</v>
      </c>
      <c r="GE14" s="88"/>
      <c r="GF14" s="88" t="e">
        <f>AVERAGE(GE4:GE13)</f>
        <v>#DIV/0!</v>
      </c>
      <c r="GG14" s="88"/>
      <c r="GI14" s="88">
        <f>(SUM(GI4:GI13))/(AVERAGE(GI4:GI13))</f>
        <v>10</v>
      </c>
      <c r="GJ14" s="88"/>
      <c r="GK14" s="90">
        <f>SUM(GK4:GK13)/(SUM(GI4:GI13))</f>
        <v>0</v>
      </c>
      <c r="GL14" s="88"/>
      <c r="GM14" s="88" t="e">
        <f>AVERAGE(GL4:GL13)</f>
        <v>#DIV/0!</v>
      </c>
      <c r="GN14" s="88"/>
      <c r="GP14" s="88">
        <f>(SUM(GP4:GP13))/(AVERAGE(GP4:GP13))</f>
        <v>10</v>
      </c>
      <c r="GQ14" s="88"/>
      <c r="GR14" s="90">
        <f>SUM(GR4:GR13)/(SUM(GP4:GP13))</f>
        <v>0</v>
      </c>
      <c r="GS14" s="88"/>
      <c r="GT14" s="88" t="e">
        <f>AVERAGE(GS4:GS13)</f>
        <v>#DIV/0!</v>
      </c>
      <c r="GU14" s="88"/>
      <c r="GW14" s="88">
        <f>(SUM(GW4:GW13))/(AVERAGE(GW4:GW13))</f>
        <v>10</v>
      </c>
      <c r="GX14" s="88"/>
      <c r="GY14" s="90">
        <f>SUM(GY4:GY13)/(SUM(GW4:GW13))</f>
        <v>0</v>
      </c>
      <c r="GZ14" s="88"/>
      <c r="HA14" s="88" t="e">
        <f>AVERAGE(GZ4:GZ13)</f>
        <v>#DIV/0!</v>
      </c>
      <c r="HB14" s="88"/>
      <c r="HD14" s="88">
        <f>(SUM(HD4:HD13))/(AVERAGE(HD4:HD13))</f>
        <v>10</v>
      </c>
      <c r="HE14" s="88"/>
      <c r="HF14" s="90">
        <f>SUM(HF4:HF13)/(SUM(HD4:HD13))</f>
        <v>0</v>
      </c>
      <c r="HG14" s="88"/>
      <c r="HH14" s="88" t="e">
        <f>AVERAGE(HG4:HG13)</f>
        <v>#DIV/0!</v>
      </c>
      <c r="HI14" s="88"/>
      <c r="HK14" s="88">
        <f>(SUM(HK4:HK13))/(AVERAGE(HK4:HK13))</f>
        <v>10</v>
      </c>
      <c r="HL14" s="88"/>
      <c r="HM14" s="90">
        <f>SUM(HM4:HM13)/(SUM(HK4:HK13))</f>
        <v>0</v>
      </c>
      <c r="HN14" s="88"/>
      <c r="HO14" s="88" t="e">
        <f>AVERAGE(HN4:HN13)</f>
        <v>#DIV/0!</v>
      </c>
      <c r="HP14" s="88"/>
      <c r="HR14" s="88">
        <f>(SUM(HR4:HR13))/(AVERAGE(HR4:HR13))</f>
        <v>10</v>
      </c>
      <c r="HS14" s="88"/>
      <c r="HT14" s="90">
        <f>SUM(HT4:HT13)/(SUM(HR4:HR13))</f>
        <v>0</v>
      </c>
      <c r="HU14" s="88"/>
      <c r="HV14" s="88" t="e">
        <f>AVERAGE(HU4:HU13)</f>
        <v>#DIV/0!</v>
      </c>
      <c r="HW14" s="88"/>
      <c r="HY14" s="88">
        <f>(SUM(HY4:HY13))/(AVERAGE(HY4:HY13))</f>
        <v>10</v>
      </c>
      <c r="HZ14" s="88"/>
      <c r="IA14" s="90">
        <f>SUM(IA4:IA13)/(SUM(HY4:HY13))</f>
        <v>0</v>
      </c>
      <c r="IB14" s="88"/>
      <c r="IC14" s="88" t="e">
        <f>AVERAGE(IB4:IB13)</f>
        <v>#DIV/0!</v>
      </c>
      <c r="ID14" s="88"/>
      <c r="IF14" s="88">
        <f>(SUM(IF4:IF13))/(AVERAGE(IF4:IF13))</f>
        <v>10</v>
      </c>
      <c r="IG14" s="88"/>
      <c r="IH14" s="90">
        <f>SUM(IH4:IH13)/(SUM(IF4:IF13))</f>
        <v>0</v>
      </c>
      <c r="II14" s="88"/>
      <c r="IJ14" s="88" t="e">
        <f>AVERAGE(II4:II13)</f>
        <v>#DIV/0!</v>
      </c>
      <c r="IK14" s="88"/>
      <c r="IM14" s="88">
        <f>(SUM(IM4:IM13))/(AVERAGE(IM4:IM13))</f>
        <v>10</v>
      </c>
      <c r="IN14" s="88"/>
      <c r="IO14" s="90">
        <f>SUM(IO4:IO13)/(SUM(IM4:IM13))</f>
        <v>0</v>
      </c>
      <c r="IP14" s="88"/>
      <c r="IQ14" s="88" t="e">
        <f>AVERAGE(IP4:IP13)</f>
        <v>#DIV/0!</v>
      </c>
    </row>
    <row r="15" spans="1:251" ht="42.75">
      <c r="A15" s="117" t="s">
        <v>93</v>
      </c>
      <c r="B15" s="98"/>
      <c r="C15" s="99" t="s">
        <v>63</v>
      </c>
      <c r="D15" s="99" t="s">
        <v>62</v>
      </c>
      <c r="E15" s="99" t="s">
        <v>61</v>
      </c>
      <c r="F15" s="91" t="s">
        <v>24</v>
      </c>
      <c r="G15" s="91" t="s">
        <v>24</v>
      </c>
      <c r="H15" s="91" t="s">
        <v>25</v>
      </c>
      <c r="I15" s="91" t="s">
        <v>0</v>
      </c>
      <c r="J15" s="91" t="s">
        <v>1</v>
      </c>
      <c r="K15" s="91" t="s">
        <v>27</v>
      </c>
      <c r="L15" s="91" t="s">
        <v>2</v>
      </c>
      <c r="M15" s="91" t="s">
        <v>28</v>
      </c>
      <c r="N15" s="91" t="s">
        <v>24</v>
      </c>
      <c r="O15" s="91" t="s">
        <v>25</v>
      </c>
      <c r="P15" s="91" t="s">
        <v>0</v>
      </c>
      <c r="Q15" s="91" t="s">
        <v>1</v>
      </c>
      <c r="R15" s="91" t="s">
        <v>27</v>
      </c>
      <c r="S15" s="91" t="s">
        <v>2</v>
      </c>
      <c r="T15" s="91" t="s">
        <v>28</v>
      </c>
      <c r="U15" s="91" t="s">
        <v>24</v>
      </c>
      <c r="V15" s="91" t="s">
        <v>25</v>
      </c>
      <c r="W15" s="91" t="s">
        <v>0</v>
      </c>
      <c r="X15" s="91" t="s">
        <v>1</v>
      </c>
      <c r="Y15" s="91" t="s">
        <v>27</v>
      </c>
      <c r="Z15" s="91" t="s">
        <v>2</v>
      </c>
      <c r="AA15" s="91" t="s">
        <v>28</v>
      </c>
      <c r="AB15" s="91" t="s">
        <v>24</v>
      </c>
      <c r="AC15" s="91" t="s">
        <v>25</v>
      </c>
      <c r="AD15" s="91" t="s">
        <v>0</v>
      </c>
      <c r="AE15" s="91" t="s">
        <v>1</v>
      </c>
      <c r="AF15" s="91" t="s">
        <v>27</v>
      </c>
      <c r="AG15" s="91" t="s">
        <v>2</v>
      </c>
      <c r="AH15" s="91" t="s">
        <v>28</v>
      </c>
      <c r="AI15" s="91" t="s">
        <v>24</v>
      </c>
      <c r="AJ15" s="91" t="s">
        <v>25</v>
      </c>
      <c r="AK15" s="91" t="s">
        <v>0</v>
      </c>
      <c r="AL15" s="91" t="s">
        <v>1</v>
      </c>
      <c r="AM15" s="91" t="s">
        <v>27</v>
      </c>
      <c r="AN15" s="91" t="s">
        <v>2</v>
      </c>
      <c r="AO15" s="91" t="s">
        <v>28</v>
      </c>
      <c r="AP15" s="91" t="s">
        <v>24</v>
      </c>
      <c r="AQ15" s="91" t="s">
        <v>25</v>
      </c>
      <c r="AR15" s="91" t="s">
        <v>0</v>
      </c>
      <c r="AS15" s="91" t="s">
        <v>1</v>
      </c>
      <c r="AT15" s="91" t="s">
        <v>27</v>
      </c>
      <c r="AU15" s="91" t="s">
        <v>2</v>
      </c>
      <c r="AV15" s="91" t="s">
        <v>28</v>
      </c>
      <c r="AW15" s="91" t="s">
        <v>24</v>
      </c>
      <c r="AX15" s="91" t="s">
        <v>25</v>
      </c>
      <c r="AY15" s="91" t="s">
        <v>0</v>
      </c>
      <c r="AZ15" s="91" t="s">
        <v>1</v>
      </c>
      <c r="BA15" s="91" t="s">
        <v>27</v>
      </c>
      <c r="BB15" s="91" t="s">
        <v>2</v>
      </c>
      <c r="BC15" s="91" t="s">
        <v>28</v>
      </c>
      <c r="BD15" s="91" t="s">
        <v>24</v>
      </c>
      <c r="BE15" s="91" t="s">
        <v>25</v>
      </c>
      <c r="BF15" s="91" t="s">
        <v>0</v>
      </c>
      <c r="BG15" s="91" t="s">
        <v>1</v>
      </c>
      <c r="BH15" s="91" t="s">
        <v>27</v>
      </c>
      <c r="BI15" s="91" t="s">
        <v>2</v>
      </c>
      <c r="BJ15" s="91" t="s">
        <v>28</v>
      </c>
      <c r="BK15" s="91" t="s">
        <v>24</v>
      </c>
      <c r="BL15" s="91" t="s">
        <v>25</v>
      </c>
      <c r="BM15" s="91" t="s">
        <v>0</v>
      </c>
      <c r="BN15" s="91" t="s">
        <v>1</v>
      </c>
      <c r="BO15" s="91" t="s">
        <v>27</v>
      </c>
      <c r="BP15" s="91" t="s">
        <v>2</v>
      </c>
      <c r="BQ15" s="91" t="s">
        <v>28</v>
      </c>
      <c r="BR15" s="91" t="s">
        <v>24</v>
      </c>
      <c r="BS15" s="91" t="s">
        <v>25</v>
      </c>
      <c r="BT15" s="91" t="s">
        <v>0</v>
      </c>
      <c r="BU15" s="91" t="s">
        <v>1</v>
      </c>
      <c r="BV15" s="91" t="s">
        <v>27</v>
      </c>
      <c r="BW15" s="91" t="s">
        <v>2</v>
      </c>
      <c r="BX15" s="91" t="s">
        <v>28</v>
      </c>
      <c r="BY15" s="91" t="s">
        <v>24</v>
      </c>
      <c r="BZ15" s="91" t="s">
        <v>25</v>
      </c>
      <c r="CA15" s="91" t="s">
        <v>0</v>
      </c>
      <c r="CB15" s="91" t="s">
        <v>1</v>
      </c>
      <c r="CC15" s="91" t="s">
        <v>27</v>
      </c>
      <c r="CD15" s="91" t="s">
        <v>2</v>
      </c>
      <c r="CE15" s="91" t="s">
        <v>28</v>
      </c>
      <c r="CF15" s="91" t="s">
        <v>24</v>
      </c>
      <c r="CG15" s="91" t="s">
        <v>25</v>
      </c>
      <c r="CH15" s="91" t="s">
        <v>0</v>
      </c>
      <c r="CI15" s="91" t="s">
        <v>1</v>
      </c>
      <c r="CJ15" s="91" t="s">
        <v>27</v>
      </c>
      <c r="CK15" s="91" t="s">
        <v>2</v>
      </c>
      <c r="CL15" s="91" t="s">
        <v>28</v>
      </c>
      <c r="CM15" s="91" t="s">
        <v>24</v>
      </c>
      <c r="CN15" s="91" t="s">
        <v>25</v>
      </c>
      <c r="CO15" s="91" t="s">
        <v>0</v>
      </c>
      <c r="CP15" s="91" t="s">
        <v>1</v>
      </c>
      <c r="CQ15" s="91" t="s">
        <v>27</v>
      </c>
      <c r="CR15" s="91" t="s">
        <v>2</v>
      </c>
      <c r="CS15" s="91" t="s">
        <v>28</v>
      </c>
      <c r="CT15" s="91" t="s">
        <v>24</v>
      </c>
      <c r="CU15" s="91" t="s">
        <v>25</v>
      </c>
      <c r="CV15" s="91" t="s">
        <v>0</v>
      </c>
      <c r="CW15" s="91" t="s">
        <v>1</v>
      </c>
      <c r="CX15" s="91" t="s">
        <v>27</v>
      </c>
      <c r="CY15" s="91" t="s">
        <v>2</v>
      </c>
      <c r="CZ15" s="91" t="s">
        <v>28</v>
      </c>
      <c r="DA15" s="91" t="s">
        <v>24</v>
      </c>
      <c r="DB15" s="91" t="s">
        <v>25</v>
      </c>
      <c r="DC15" s="91" t="s">
        <v>0</v>
      </c>
      <c r="DD15" s="91" t="s">
        <v>1</v>
      </c>
      <c r="DE15" s="91" t="s">
        <v>27</v>
      </c>
      <c r="DF15" s="91" t="s">
        <v>2</v>
      </c>
      <c r="DG15" s="91" t="s">
        <v>28</v>
      </c>
      <c r="DH15" s="91" t="s">
        <v>25</v>
      </c>
      <c r="DI15" s="91" t="s">
        <v>0</v>
      </c>
      <c r="DJ15" s="91" t="s">
        <v>1</v>
      </c>
      <c r="DK15" s="91" t="s">
        <v>27</v>
      </c>
      <c r="DL15" s="91" t="s">
        <v>2</v>
      </c>
      <c r="DM15" s="91" t="s">
        <v>28</v>
      </c>
      <c r="DN15" s="91" t="s">
        <v>24</v>
      </c>
      <c r="DO15" s="91" t="s">
        <v>25</v>
      </c>
      <c r="DP15" s="91" t="s">
        <v>0</v>
      </c>
      <c r="DQ15" s="91" t="s">
        <v>1</v>
      </c>
      <c r="DR15" s="91" t="s">
        <v>27</v>
      </c>
      <c r="DS15" s="91" t="s">
        <v>2</v>
      </c>
      <c r="DT15" s="91" t="s">
        <v>28</v>
      </c>
      <c r="DU15" s="91" t="s">
        <v>24</v>
      </c>
      <c r="DV15" s="91" t="s">
        <v>25</v>
      </c>
      <c r="DW15" s="91" t="s">
        <v>0</v>
      </c>
      <c r="DX15" s="91" t="s">
        <v>1</v>
      </c>
      <c r="DY15" s="91" t="s">
        <v>27</v>
      </c>
      <c r="DZ15" s="91" t="s">
        <v>2</v>
      </c>
      <c r="EA15" s="91" t="s">
        <v>28</v>
      </c>
      <c r="EB15" s="91" t="s">
        <v>24</v>
      </c>
      <c r="EC15" s="91" t="s">
        <v>25</v>
      </c>
      <c r="ED15" s="91" t="s">
        <v>0</v>
      </c>
      <c r="EE15" s="91" t="s">
        <v>1</v>
      </c>
      <c r="EF15" s="91" t="s">
        <v>27</v>
      </c>
      <c r="EG15" s="91" t="s">
        <v>2</v>
      </c>
      <c r="EH15" s="91" t="s">
        <v>28</v>
      </c>
      <c r="EI15" s="91" t="s">
        <v>24</v>
      </c>
      <c r="EJ15" s="91" t="s">
        <v>25</v>
      </c>
      <c r="EK15" s="91" t="s">
        <v>0</v>
      </c>
      <c r="EL15" s="91" t="s">
        <v>1</v>
      </c>
      <c r="EM15" s="91" t="s">
        <v>27</v>
      </c>
      <c r="EN15" s="91" t="s">
        <v>2</v>
      </c>
      <c r="EO15" s="91" t="s">
        <v>28</v>
      </c>
      <c r="EP15" s="91" t="s">
        <v>24</v>
      </c>
      <c r="EQ15" s="91" t="s">
        <v>25</v>
      </c>
      <c r="ER15" s="91" t="s">
        <v>0</v>
      </c>
      <c r="ES15" s="91" t="s">
        <v>1</v>
      </c>
      <c r="ET15" s="91" t="s">
        <v>27</v>
      </c>
      <c r="EU15" s="91" t="s">
        <v>2</v>
      </c>
      <c r="EV15" s="91" t="s">
        <v>28</v>
      </c>
      <c r="EW15" s="91" t="s">
        <v>24</v>
      </c>
      <c r="EX15" s="91" t="s">
        <v>25</v>
      </c>
      <c r="EY15" s="91" t="s">
        <v>0</v>
      </c>
      <c r="EZ15" s="91" t="s">
        <v>1</v>
      </c>
      <c r="FA15" s="91" t="s">
        <v>27</v>
      </c>
      <c r="FB15" s="91" t="s">
        <v>2</v>
      </c>
      <c r="FC15" s="91" t="s">
        <v>28</v>
      </c>
      <c r="FD15" s="91" t="s">
        <v>24</v>
      </c>
      <c r="FE15" s="91" t="s">
        <v>25</v>
      </c>
      <c r="FF15" s="91" t="s">
        <v>0</v>
      </c>
      <c r="FG15" s="91" t="s">
        <v>1</v>
      </c>
      <c r="FH15" s="91" t="s">
        <v>27</v>
      </c>
      <c r="FI15" s="91" t="s">
        <v>2</v>
      </c>
      <c r="FJ15" s="91" t="s">
        <v>28</v>
      </c>
      <c r="FK15" s="91" t="s">
        <v>24</v>
      </c>
      <c r="FL15" s="91" t="s">
        <v>25</v>
      </c>
      <c r="FM15" s="91" t="s">
        <v>0</v>
      </c>
      <c r="FN15" s="91" t="s">
        <v>1</v>
      </c>
      <c r="FO15" s="91" t="s">
        <v>27</v>
      </c>
      <c r="FP15" s="91" t="s">
        <v>2</v>
      </c>
      <c r="FQ15" s="91" t="s">
        <v>28</v>
      </c>
      <c r="FR15" s="91" t="s">
        <v>24</v>
      </c>
      <c r="FS15" s="91" t="s">
        <v>25</v>
      </c>
      <c r="FT15" s="91" t="s">
        <v>0</v>
      </c>
      <c r="FU15" s="91" t="s">
        <v>1</v>
      </c>
      <c r="FV15" s="91" t="s">
        <v>27</v>
      </c>
      <c r="FW15" s="91" t="s">
        <v>2</v>
      </c>
      <c r="FX15" s="91" t="s">
        <v>28</v>
      </c>
      <c r="FY15" s="91" t="s">
        <v>24</v>
      </c>
      <c r="FZ15" s="91" t="s">
        <v>25</v>
      </c>
      <c r="GA15" s="91" t="s">
        <v>0</v>
      </c>
      <c r="GB15" s="91" t="s">
        <v>1</v>
      </c>
      <c r="GC15" s="91" t="s">
        <v>27</v>
      </c>
      <c r="GD15" s="91" t="s">
        <v>2</v>
      </c>
      <c r="GE15" s="91" t="s">
        <v>28</v>
      </c>
      <c r="GF15" s="91" t="s">
        <v>24</v>
      </c>
      <c r="GG15" s="91" t="s">
        <v>25</v>
      </c>
      <c r="GH15" s="91" t="s">
        <v>0</v>
      </c>
      <c r="GI15" s="91" t="s">
        <v>1</v>
      </c>
      <c r="GJ15" s="91" t="s">
        <v>27</v>
      </c>
      <c r="GK15" s="91" t="s">
        <v>2</v>
      </c>
      <c r="GL15" s="91" t="s">
        <v>28</v>
      </c>
      <c r="GM15" s="91" t="s">
        <v>24</v>
      </c>
      <c r="GN15" s="91" t="s">
        <v>25</v>
      </c>
      <c r="GO15" s="91" t="s">
        <v>0</v>
      </c>
      <c r="GP15" s="91" t="s">
        <v>1</v>
      </c>
      <c r="GQ15" s="91" t="s">
        <v>27</v>
      </c>
      <c r="GR15" s="91" t="s">
        <v>2</v>
      </c>
      <c r="GS15" s="91" t="s">
        <v>28</v>
      </c>
      <c r="GT15" s="91" t="s">
        <v>24</v>
      </c>
      <c r="GU15" s="91" t="s">
        <v>25</v>
      </c>
      <c r="GV15" s="91" t="s">
        <v>0</v>
      </c>
      <c r="GW15" s="91" t="s">
        <v>1</v>
      </c>
      <c r="GX15" s="91" t="s">
        <v>27</v>
      </c>
      <c r="GY15" s="91" t="s">
        <v>2</v>
      </c>
      <c r="GZ15" s="91" t="s">
        <v>28</v>
      </c>
      <c r="HA15" s="91" t="s">
        <v>24</v>
      </c>
      <c r="HB15" s="91" t="s">
        <v>25</v>
      </c>
      <c r="HC15" s="91" t="s">
        <v>0</v>
      </c>
      <c r="HD15" s="91" t="s">
        <v>1</v>
      </c>
      <c r="HE15" s="91" t="s">
        <v>27</v>
      </c>
      <c r="HF15" s="91" t="s">
        <v>2</v>
      </c>
      <c r="HG15" s="91" t="s">
        <v>28</v>
      </c>
      <c r="HH15" s="91" t="s">
        <v>24</v>
      </c>
      <c r="HI15" s="91" t="s">
        <v>25</v>
      </c>
      <c r="HJ15" s="91" t="s">
        <v>0</v>
      </c>
      <c r="HK15" s="91" t="s">
        <v>1</v>
      </c>
      <c r="HL15" s="91" t="s">
        <v>27</v>
      </c>
      <c r="HM15" s="91" t="s">
        <v>2</v>
      </c>
      <c r="HN15" s="91" t="s">
        <v>28</v>
      </c>
      <c r="HO15" s="91" t="s">
        <v>24</v>
      </c>
      <c r="HP15" s="91" t="s">
        <v>25</v>
      </c>
      <c r="HQ15" s="91" t="s">
        <v>0</v>
      </c>
      <c r="HR15" s="91" t="s">
        <v>1</v>
      </c>
      <c r="HS15" s="91" t="s">
        <v>27</v>
      </c>
      <c r="HT15" s="91" t="s">
        <v>2</v>
      </c>
      <c r="HU15" s="91" t="s">
        <v>28</v>
      </c>
      <c r="HV15" s="91" t="s">
        <v>24</v>
      </c>
      <c r="HW15" s="91" t="s">
        <v>25</v>
      </c>
      <c r="HX15" s="91" t="s">
        <v>0</v>
      </c>
      <c r="HY15" s="91" t="s">
        <v>1</v>
      </c>
      <c r="HZ15" s="91" t="s">
        <v>27</v>
      </c>
      <c r="IA15" s="91" t="s">
        <v>2</v>
      </c>
      <c r="IB15" s="91" t="s">
        <v>28</v>
      </c>
      <c r="IC15" s="91" t="s">
        <v>24</v>
      </c>
      <c r="ID15" s="91" t="s">
        <v>25</v>
      </c>
      <c r="IE15" s="91" t="s">
        <v>0</v>
      </c>
      <c r="IF15" s="91" t="s">
        <v>1</v>
      </c>
      <c r="IG15" s="91" t="s">
        <v>27</v>
      </c>
      <c r="IH15" s="91" t="s">
        <v>2</v>
      </c>
      <c r="II15" s="91" t="s">
        <v>28</v>
      </c>
      <c r="IJ15" s="91" t="s">
        <v>24</v>
      </c>
      <c r="IK15" s="91" t="s">
        <v>25</v>
      </c>
      <c r="IL15" s="91" t="s">
        <v>0</v>
      </c>
      <c r="IM15" s="91" t="s">
        <v>1</v>
      </c>
      <c r="IN15" s="91" t="s">
        <v>27</v>
      </c>
      <c r="IO15" s="91" t="s">
        <v>2</v>
      </c>
      <c r="IP15" s="91" t="s">
        <v>28</v>
      </c>
      <c r="IQ15" s="91" t="s">
        <v>24</v>
      </c>
    </row>
    <row r="16" spans="1:251" ht="22.5" customHeight="1">
      <c r="A16" s="115" t="s">
        <v>94</v>
      </c>
      <c r="B16" s="71"/>
      <c r="C16" s="72" t="s">
        <v>95</v>
      </c>
      <c r="D16" s="72" t="s">
        <v>96</v>
      </c>
      <c r="E16" s="72" t="s">
        <v>97</v>
      </c>
      <c r="F16" s="72" t="s">
        <v>56</v>
      </c>
      <c r="G16" s="68"/>
      <c r="H16" s="1"/>
      <c r="I16" s="1">
        <v>2</v>
      </c>
      <c r="J16" s="1"/>
      <c r="K16" s="10">
        <f>J16*I16</f>
        <v>0</v>
      </c>
      <c r="L16" s="1"/>
      <c r="M16" s="1">
        <f>L16*I16</f>
        <v>0</v>
      </c>
      <c r="N16" s="2"/>
      <c r="O16" s="2"/>
      <c r="P16" s="2">
        <v>2</v>
      </c>
      <c r="Q16" s="2"/>
      <c r="R16" s="3">
        <f>Q16*P16</f>
        <v>0</v>
      </c>
      <c r="S16" s="2"/>
      <c r="T16" s="2">
        <f>S16*P16</f>
        <v>0</v>
      </c>
      <c r="U16" s="1"/>
      <c r="V16" s="1"/>
      <c r="W16" s="1">
        <v>2</v>
      </c>
      <c r="X16" s="1"/>
      <c r="Y16" s="10">
        <f>X16*W16</f>
        <v>0</v>
      </c>
      <c r="Z16" s="1"/>
      <c r="AA16" s="1">
        <f>Z16*W16</f>
        <v>0</v>
      </c>
      <c r="AB16" s="2"/>
      <c r="AC16" s="2"/>
      <c r="AD16" s="2">
        <v>2</v>
      </c>
      <c r="AE16" s="2"/>
      <c r="AF16" s="3">
        <f>AE16*AD16</f>
        <v>0</v>
      </c>
      <c r="AG16" s="2"/>
      <c r="AH16" s="2">
        <f>AG16*AD16</f>
        <v>0</v>
      </c>
      <c r="AI16" s="1"/>
      <c r="AJ16" s="1"/>
      <c r="AK16" s="1">
        <v>2</v>
      </c>
      <c r="AL16" s="1"/>
      <c r="AM16" s="10">
        <f>AL16*AK16</f>
        <v>0</v>
      </c>
      <c r="AN16" s="1"/>
      <c r="AO16" s="1">
        <f>AN16*AK16</f>
        <v>0</v>
      </c>
      <c r="AP16" s="2"/>
      <c r="AQ16" s="2"/>
      <c r="AR16" s="2">
        <v>2</v>
      </c>
      <c r="AS16" s="2"/>
      <c r="AT16" s="3">
        <f>AS16*AR16</f>
        <v>0</v>
      </c>
      <c r="AU16" s="2"/>
      <c r="AV16" s="2">
        <f>AU16*AR16</f>
        <v>0</v>
      </c>
      <c r="AW16" s="1"/>
      <c r="AX16" s="1"/>
      <c r="AY16" s="1">
        <v>2</v>
      </c>
      <c r="AZ16" s="1"/>
      <c r="BA16" s="10">
        <f>AZ16*AY16</f>
        <v>0</v>
      </c>
      <c r="BB16" s="1"/>
      <c r="BC16" s="1">
        <f>BB16*AY16</f>
        <v>0</v>
      </c>
      <c r="BD16" s="2"/>
      <c r="BE16" s="2"/>
      <c r="BF16" s="2">
        <v>2</v>
      </c>
      <c r="BG16" s="2"/>
      <c r="BH16" s="3">
        <f>BG16*BF16</f>
        <v>0</v>
      </c>
      <c r="BI16" s="2"/>
      <c r="BJ16" s="2">
        <f>BI16*BF16</f>
        <v>0</v>
      </c>
      <c r="BK16" s="1"/>
      <c r="BL16" s="1"/>
      <c r="BM16" s="1">
        <v>2</v>
      </c>
      <c r="BN16" s="1"/>
      <c r="BO16" s="10">
        <f>BN16*BM16</f>
        <v>0</v>
      </c>
      <c r="BP16" s="1"/>
      <c r="BQ16" s="1">
        <f>BP16*BM16</f>
        <v>0</v>
      </c>
      <c r="BR16" s="2"/>
      <c r="BS16" s="2"/>
      <c r="BT16" s="2">
        <v>2</v>
      </c>
      <c r="BU16" s="2"/>
      <c r="BV16" s="3">
        <f>BU16*BT16</f>
        <v>0</v>
      </c>
      <c r="BW16" s="2"/>
      <c r="BX16" s="2">
        <f>BW16*BT16</f>
        <v>0</v>
      </c>
      <c r="BY16" s="1"/>
      <c r="BZ16" s="1"/>
      <c r="CA16" s="1">
        <v>2</v>
      </c>
      <c r="CB16" s="1"/>
      <c r="CC16" s="10">
        <f>CB16*CA16</f>
        <v>0</v>
      </c>
      <c r="CD16" s="1"/>
      <c r="CE16" s="1">
        <f>CD16*CA16</f>
        <v>0</v>
      </c>
      <c r="CF16" s="2"/>
      <c r="CG16" s="2"/>
      <c r="CH16" s="2">
        <v>2</v>
      </c>
      <c r="CI16" s="2"/>
      <c r="CJ16" s="3">
        <f>CI16*CH16</f>
        <v>0</v>
      </c>
      <c r="CK16" s="2"/>
      <c r="CL16" s="2">
        <f>CK16*CH16</f>
        <v>0</v>
      </c>
      <c r="CM16" s="1"/>
      <c r="CN16" s="1"/>
      <c r="CO16" s="1">
        <v>2</v>
      </c>
      <c r="CP16" s="1"/>
      <c r="CQ16" s="10">
        <f>CP16*CO16</f>
        <v>0</v>
      </c>
      <c r="CR16" s="1"/>
      <c r="CS16" s="1">
        <f>CR16*CO16</f>
        <v>0</v>
      </c>
      <c r="CT16" s="2"/>
      <c r="CU16" s="2"/>
      <c r="CV16" s="2">
        <v>2</v>
      </c>
      <c r="CW16" s="2"/>
      <c r="CX16" s="3">
        <f>CW16*CV16</f>
        <v>0</v>
      </c>
      <c r="CY16" s="2"/>
      <c r="CZ16" s="2">
        <f>CY16*CV16</f>
        <v>0</v>
      </c>
      <c r="DA16" s="1"/>
      <c r="DB16" s="1"/>
      <c r="DC16" s="1">
        <v>2</v>
      </c>
      <c r="DD16" s="1"/>
      <c r="DE16" s="10">
        <f>DD16*DC16</f>
        <v>0</v>
      </c>
      <c r="DF16" s="1"/>
      <c r="DG16" s="1">
        <f>DF16*DC16</f>
        <v>0</v>
      </c>
      <c r="DH16" s="2"/>
      <c r="DI16" s="2"/>
      <c r="DJ16" s="2">
        <v>2</v>
      </c>
      <c r="DK16" s="2"/>
      <c r="DL16" s="3">
        <f>DK16*DJ16</f>
        <v>0</v>
      </c>
      <c r="DM16" s="2"/>
      <c r="DN16" s="2">
        <f>DM16*DJ16</f>
        <v>0</v>
      </c>
      <c r="DO16" s="1"/>
      <c r="DP16" s="1"/>
      <c r="DQ16" s="1">
        <v>2</v>
      </c>
      <c r="DR16" s="1"/>
      <c r="DS16" s="10">
        <f>DR16*DQ16</f>
        <v>0</v>
      </c>
      <c r="DT16" s="1"/>
      <c r="DU16" s="1">
        <f>DT16*DQ16</f>
        <v>0</v>
      </c>
      <c r="DV16" s="2"/>
      <c r="DW16" s="2"/>
      <c r="DX16" s="2">
        <v>2</v>
      </c>
      <c r="DY16" s="2"/>
      <c r="DZ16" s="3">
        <f>DY16*DX16</f>
        <v>0</v>
      </c>
      <c r="EA16" s="2"/>
      <c r="EB16" s="2">
        <f>EA16*DX16</f>
        <v>0</v>
      </c>
      <c r="EC16" s="1"/>
      <c r="ED16" s="1"/>
      <c r="EE16" s="1">
        <v>2</v>
      </c>
      <c r="EF16" s="1"/>
      <c r="EG16" s="10">
        <f>EF16*EE16</f>
        <v>0</v>
      </c>
      <c r="EH16" s="1"/>
      <c r="EI16" s="1">
        <f>EH16*EE16</f>
        <v>0</v>
      </c>
      <c r="EJ16" s="2"/>
      <c r="EK16" s="2"/>
      <c r="EL16" s="2">
        <v>2</v>
      </c>
      <c r="EM16" s="2"/>
      <c r="EN16" s="3">
        <f>EM16*EL16</f>
        <v>0</v>
      </c>
      <c r="EO16" s="2"/>
      <c r="EP16" s="2">
        <f>EO16*EL16</f>
        <v>0</v>
      </c>
      <c r="EQ16" s="72"/>
      <c r="ER16" s="72"/>
      <c r="ES16" s="72">
        <v>2</v>
      </c>
      <c r="ET16" s="72"/>
      <c r="EU16" s="73">
        <f>ET16*ES16</f>
        <v>0</v>
      </c>
      <c r="EV16" s="72"/>
      <c r="EW16" s="72">
        <f>EV16*ES16</f>
        <v>0</v>
      </c>
      <c r="EX16" s="68"/>
      <c r="EY16" s="68"/>
      <c r="EZ16" s="68">
        <v>2</v>
      </c>
      <c r="FA16" s="68"/>
      <c r="FB16" s="10">
        <f>FA16*EZ16</f>
        <v>0</v>
      </c>
      <c r="FC16" s="68"/>
      <c r="FD16" s="68">
        <f>FC16*EZ16</f>
        <v>0</v>
      </c>
      <c r="FE16" s="72"/>
      <c r="FF16" s="72"/>
      <c r="FG16" s="72">
        <v>2</v>
      </c>
      <c r="FH16" s="72"/>
      <c r="FI16" s="73">
        <f>FH16*FG16</f>
        <v>0</v>
      </c>
      <c r="FJ16" s="72"/>
      <c r="FK16" s="72">
        <f>FJ16*FG16</f>
        <v>0</v>
      </c>
      <c r="FL16" s="68"/>
      <c r="FM16" s="68"/>
      <c r="FN16" s="68">
        <v>2</v>
      </c>
      <c r="FO16" s="68"/>
      <c r="FP16" s="10">
        <f>FO16*FN16</f>
        <v>0</v>
      </c>
      <c r="FQ16" s="68"/>
      <c r="FR16" s="68">
        <f>FQ16*FN16</f>
        <v>0</v>
      </c>
      <c r="FS16" s="72"/>
      <c r="FT16" s="72"/>
      <c r="FU16" s="72">
        <v>2</v>
      </c>
      <c r="FV16" s="72"/>
      <c r="FW16" s="73">
        <f>FV16*FU16</f>
        <v>0</v>
      </c>
      <c r="FX16" s="72"/>
      <c r="FY16" s="72">
        <f>FX16*FU16</f>
        <v>0</v>
      </c>
      <c r="FZ16" s="72"/>
      <c r="GA16" s="72"/>
      <c r="GB16" s="72">
        <v>2</v>
      </c>
      <c r="GC16" s="72"/>
      <c r="GD16" s="73">
        <f>GC16*GB16</f>
        <v>0</v>
      </c>
      <c r="GE16" s="72"/>
      <c r="GF16" s="72">
        <f>GE16*GB16</f>
        <v>0</v>
      </c>
      <c r="GG16" s="68"/>
      <c r="GH16" s="68"/>
      <c r="GI16" s="68">
        <v>2</v>
      </c>
      <c r="GJ16" s="68"/>
      <c r="GK16" s="10">
        <f>GJ16*GI16</f>
        <v>0</v>
      </c>
      <c r="GL16" s="68"/>
      <c r="GM16" s="68">
        <f>GL16*GI16</f>
        <v>0</v>
      </c>
      <c r="GN16" s="72"/>
      <c r="GO16" s="72"/>
      <c r="GP16" s="72">
        <v>2</v>
      </c>
      <c r="GQ16" s="72"/>
      <c r="GR16" s="73">
        <f>GQ16*GP16</f>
        <v>0</v>
      </c>
      <c r="GS16" s="72"/>
      <c r="GT16" s="72">
        <f>GS16*GP16</f>
        <v>0</v>
      </c>
      <c r="GU16" s="68"/>
      <c r="GV16" s="68"/>
      <c r="GW16" s="68">
        <v>2</v>
      </c>
      <c r="GX16" s="68"/>
      <c r="GY16" s="10">
        <f>GX16*GW16</f>
        <v>0</v>
      </c>
      <c r="GZ16" s="68"/>
      <c r="HA16" s="68">
        <f>GZ16*GW16</f>
        <v>0</v>
      </c>
      <c r="HB16" s="72"/>
      <c r="HC16" s="72"/>
      <c r="HD16" s="72">
        <v>2</v>
      </c>
      <c r="HE16" s="72"/>
      <c r="HF16" s="73">
        <f>HE16*HD16</f>
        <v>0</v>
      </c>
      <c r="HG16" s="72"/>
      <c r="HH16" s="72">
        <f>HG16*HD16</f>
        <v>0</v>
      </c>
      <c r="HI16" s="72"/>
      <c r="HJ16" s="72"/>
      <c r="HK16" s="72">
        <v>2</v>
      </c>
      <c r="HL16" s="72"/>
      <c r="HM16" s="73">
        <f>HL16*HK16</f>
        <v>0</v>
      </c>
      <c r="HN16" s="72"/>
      <c r="HO16" s="72">
        <f>HN16*HK16</f>
        <v>0</v>
      </c>
      <c r="HP16" s="68"/>
      <c r="HQ16" s="68"/>
      <c r="HR16" s="68">
        <v>2</v>
      </c>
      <c r="HS16" s="68"/>
      <c r="HT16" s="10">
        <f>HS16*HR16</f>
        <v>0</v>
      </c>
      <c r="HU16" s="68"/>
      <c r="HV16" s="68">
        <f>HU16*HR16</f>
        <v>0</v>
      </c>
      <c r="HW16" s="72"/>
      <c r="HX16" s="72"/>
      <c r="HY16" s="72">
        <v>2</v>
      </c>
      <c r="HZ16" s="72"/>
      <c r="IA16" s="73">
        <f>HZ16*HY16</f>
        <v>0</v>
      </c>
      <c r="IB16" s="72"/>
      <c r="IC16" s="72">
        <f>IB16*HY16</f>
        <v>0</v>
      </c>
      <c r="ID16" s="68"/>
      <c r="IE16" s="68"/>
      <c r="IF16" s="68">
        <v>2</v>
      </c>
      <c r="IG16" s="68"/>
      <c r="IH16" s="10">
        <f>IG16*IF16</f>
        <v>0</v>
      </c>
      <c r="II16" s="68"/>
      <c r="IJ16" s="68">
        <f>II16*IF16</f>
        <v>0</v>
      </c>
      <c r="IK16" s="72"/>
      <c r="IL16" s="72"/>
      <c r="IM16" s="72">
        <v>2</v>
      </c>
      <c r="IN16" s="72"/>
      <c r="IO16" s="73">
        <f>IN16*IM16</f>
        <v>0</v>
      </c>
      <c r="IP16" s="72"/>
      <c r="IQ16" s="72">
        <f>IP16*IM16</f>
        <v>0</v>
      </c>
    </row>
    <row r="17" spans="1:251" ht="22.5" customHeight="1">
      <c r="A17" s="115" t="s">
        <v>98</v>
      </c>
      <c r="B17" s="71"/>
      <c r="C17" s="72" t="s">
        <v>99</v>
      </c>
      <c r="D17" s="72" t="s">
        <v>100</v>
      </c>
      <c r="E17" s="72" t="s">
        <v>101</v>
      </c>
      <c r="F17" s="72" t="s">
        <v>45</v>
      </c>
      <c r="G17" s="68"/>
      <c r="H17" s="1"/>
      <c r="I17" s="1">
        <v>2</v>
      </c>
      <c r="J17" s="1"/>
      <c r="K17" s="10">
        <f aca="true" t="shared" si="70" ref="K17:K27">J17*I17</f>
        <v>0</v>
      </c>
      <c r="L17" s="1"/>
      <c r="M17" s="1">
        <f aca="true" t="shared" si="71" ref="M17:M27">L17*I17</f>
        <v>0</v>
      </c>
      <c r="N17" s="2"/>
      <c r="O17" s="2"/>
      <c r="P17" s="2">
        <v>2</v>
      </c>
      <c r="Q17" s="2"/>
      <c r="R17" s="3">
        <f aca="true" t="shared" si="72" ref="R17:R27">Q17*P17</f>
        <v>0</v>
      </c>
      <c r="S17" s="2"/>
      <c r="T17" s="2">
        <f aca="true" t="shared" si="73" ref="T17:T27">S17*P17</f>
        <v>0</v>
      </c>
      <c r="U17" s="1"/>
      <c r="V17" s="1"/>
      <c r="W17" s="1">
        <v>2</v>
      </c>
      <c r="X17" s="1"/>
      <c r="Y17" s="10">
        <f aca="true" t="shared" si="74" ref="Y17:Y27">X17*W17</f>
        <v>0</v>
      </c>
      <c r="Z17" s="1"/>
      <c r="AA17" s="1">
        <f aca="true" t="shared" si="75" ref="AA17:AA27">Z17*W17</f>
        <v>0</v>
      </c>
      <c r="AB17" s="2"/>
      <c r="AC17" s="2"/>
      <c r="AD17" s="2">
        <v>2</v>
      </c>
      <c r="AE17" s="2"/>
      <c r="AF17" s="3">
        <f aca="true" t="shared" si="76" ref="AF17:AF27">AE17*AD17</f>
        <v>0</v>
      </c>
      <c r="AG17" s="2"/>
      <c r="AH17" s="2">
        <f aca="true" t="shared" si="77" ref="AH17:AH27">AG17*AD17</f>
        <v>0</v>
      </c>
      <c r="AI17" s="1"/>
      <c r="AJ17" s="1"/>
      <c r="AK17" s="1">
        <v>2</v>
      </c>
      <c r="AL17" s="1"/>
      <c r="AM17" s="10">
        <f aca="true" t="shared" si="78" ref="AM17:AM27">AL17*AK17</f>
        <v>0</v>
      </c>
      <c r="AN17" s="1"/>
      <c r="AO17" s="1">
        <f aca="true" t="shared" si="79" ref="AO17:AO27">AN17*AK17</f>
        <v>0</v>
      </c>
      <c r="AP17" s="2"/>
      <c r="AQ17" s="2"/>
      <c r="AR17" s="2">
        <v>2</v>
      </c>
      <c r="AS17" s="2"/>
      <c r="AT17" s="3">
        <f aca="true" t="shared" si="80" ref="AT17:AT27">AS17*AR17</f>
        <v>0</v>
      </c>
      <c r="AU17" s="2"/>
      <c r="AV17" s="2">
        <f aca="true" t="shared" si="81" ref="AV17:AV27">AU17*AR17</f>
        <v>0</v>
      </c>
      <c r="AW17" s="1"/>
      <c r="AX17" s="1"/>
      <c r="AY17" s="1">
        <v>2</v>
      </c>
      <c r="AZ17" s="1"/>
      <c r="BA17" s="10">
        <f aca="true" t="shared" si="82" ref="BA17:BA27">AZ17*AY17</f>
        <v>0</v>
      </c>
      <c r="BB17" s="1"/>
      <c r="BC17" s="1">
        <f aca="true" t="shared" si="83" ref="BC17:BC27">BB17*AY17</f>
        <v>0</v>
      </c>
      <c r="BD17" s="2"/>
      <c r="BE17" s="2"/>
      <c r="BF17" s="2">
        <v>2</v>
      </c>
      <c r="BG17" s="2"/>
      <c r="BH17" s="3">
        <f aca="true" t="shared" si="84" ref="BH17:BH27">BG17*BF17</f>
        <v>0</v>
      </c>
      <c r="BI17" s="2"/>
      <c r="BJ17" s="2">
        <f aca="true" t="shared" si="85" ref="BJ17:BJ27">BI17*BF17</f>
        <v>0</v>
      </c>
      <c r="BK17" s="1"/>
      <c r="BL17" s="1"/>
      <c r="BM17" s="1">
        <v>2</v>
      </c>
      <c r="BN17" s="1"/>
      <c r="BO17" s="10">
        <f aca="true" t="shared" si="86" ref="BO17:BO27">BN17*BM17</f>
        <v>0</v>
      </c>
      <c r="BP17" s="1"/>
      <c r="BQ17" s="1">
        <f aca="true" t="shared" si="87" ref="BQ17:BQ27">BP17*BM17</f>
        <v>0</v>
      </c>
      <c r="BR17" s="2"/>
      <c r="BS17" s="2"/>
      <c r="BT17" s="2">
        <v>2</v>
      </c>
      <c r="BU17" s="2"/>
      <c r="BV17" s="3">
        <f aca="true" t="shared" si="88" ref="BV17:BV27">BU17*BT17</f>
        <v>0</v>
      </c>
      <c r="BW17" s="2"/>
      <c r="BX17" s="2">
        <f aca="true" t="shared" si="89" ref="BX17:BX27">BW17*BT17</f>
        <v>0</v>
      </c>
      <c r="BY17" s="1"/>
      <c r="BZ17" s="1"/>
      <c r="CA17" s="1">
        <v>2</v>
      </c>
      <c r="CB17" s="1"/>
      <c r="CC17" s="10">
        <f aca="true" t="shared" si="90" ref="CC17:CC27">CB17*CA17</f>
        <v>0</v>
      </c>
      <c r="CD17" s="1"/>
      <c r="CE17" s="1">
        <f aca="true" t="shared" si="91" ref="CE17:CE27">CD17*CA17</f>
        <v>0</v>
      </c>
      <c r="CF17" s="2"/>
      <c r="CG17" s="2"/>
      <c r="CH17" s="2">
        <v>2</v>
      </c>
      <c r="CI17" s="2"/>
      <c r="CJ17" s="3">
        <f aca="true" t="shared" si="92" ref="CJ17:CJ27">CI17*CH17</f>
        <v>0</v>
      </c>
      <c r="CK17" s="2"/>
      <c r="CL17" s="2">
        <f aca="true" t="shared" si="93" ref="CL17:CL27">CK17*CH17</f>
        <v>0</v>
      </c>
      <c r="CM17" s="1"/>
      <c r="CN17" s="1"/>
      <c r="CO17" s="1">
        <v>2</v>
      </c>
      <c r="CP17" s="1"/>
      <c r="CQ17" s="10">
        <f aca="true" t="shared" si="94" ref="CQ17:CQ27">CP17*CO17</f>
        <v>0</v>
      </c>
      <c r="CR17" s="1"/>
      <c r="CS17" s="1">
        <f aca="true" t="shared" si="95" ref="CS17:CS27">CR17*CO17</f>
        <v>0</v>
      </c>
      <c r="CT17" s="2"/>
      <c r="CU17" s="2"/>
      <c r="CV17" s="2">
        <v>2</v>
      </c>
      <c r="CW17" s="2"/>
      <c r="CX17" s="3">
        <f aca="true" t="shared" si="96" ref="CX17:CX27">CW17*CV17</f>
        <v>0</v>
      </c>
      <c r="CY17" s="2"/>
      <c r="CZ17" s="2">
        <f aca="true" t="shared" si="97" ref="CZ17:CZ27">CY17*CV17</f>
        <v>0</v>
      </c>
      <c r="DA17" s="1"/>
      <c r="DB17" s="1"/>
      <c r="DC17" s="1">
        <v>2</v>
      </c>
      <c r="DD17" s="1"/>
      <c r="DE17" s="10">
        <f aca="true" t="shared" si="98" ref="DE17:DE27">DD17*DC17</f>
        <v>0</v>
      </c>
      <c r="DF17" s="1"/>
      <c r="DG17" s="1">
        <f aca="true" t="shared" si="99" ref="DG17:DG27">DF17*DC17</f>
        <v>0</v>
      </c>
      <c r="DH17" s="2"/>
      <c r="DI17" s="2"/>
      <c r="DJ17" s="2">
        <v>2</v>
      </c>
      <c r="DK17" s="2"/>
      <c r="DL17" s="3">
        <f aca="true" t="shared" si="100" ref="DL17:DL27">DK17*DJ17</f>
        <v>0</v>
      </c>
      <c r="DM17" s="2"/>
      <c r="DN17" s="2">
        <f aca="true" t="shared" si="101" ref="DN17:DN27">DM17*DJ17</f>
        <v>0</v>
      </c>
      <c r="DO17" s="1"/>
      <c r="DP17" s="1"/>
      <c r="DQ17" s="1">
        <v>2</v>
      </c>
      <c r="DR17" s="1"/>
      <c r="DS17" s="10">
        <f aca="true" t="shared" si="102" ref="DS17:DS27">DR17*DQ17</f>
        <v>0</v>
      </c>
      <c r="DT17" s="1"/>
      <c r="DU17" s="1">
        <f aca="true" t="shared" si="103" ref="DU17:DU27">DT17*DQ17</f>
        <v>0</v>
      </c>
      <c r="DV17" s="2"/>
      <c r="DW17" s="2"/>
      <c r="DX17" s="2">
        <v>2</v>
      </c>
      <c r="DY17" s="2"/>
      <c r="DZ17" s="3">
        <f aca="true" t="shared" si="104" ref="DZ17:DZ27">DY17*DX17</f>
        <v>0</v>
      </c>
      <c r="EA17" s="2"/>
      <c r="EB17" s="2">
        <f aca="true" t="shared" si="105" ref="EB17:EB27">EA17*DX17</f>
        <v>0</v>
      </c>
      <c r="EC17" s="1"/>
      <c r="ED17" s="1"/>
      <c r="EE17" s="1">
        <v>2</v>
      </c>
      <c r="EF17" s="1"/>
      <c r="EG17" s="10">
        <f aca="true" t="shared" si="106" ref="EG17:EG27">EF17*EE17</f>
        <v>0</v>
      </c>
      <c r="EH17" s="1"/>
      <c r="EI17" s="1">
        <f aca="true" t="shared" si="107" ref="EI17:EI27">EH17*EE17</f>
        <v>0</v>
      </c>
      <c r="EJ17" s="2"/>
      <c r="EK17" s="2"/>
      <c r="EL17" s="2">
        <v>2</v>
      </c>
      <c r="EM17" s="2"/>
      <c r="EN17" s="3">
        <f aca="true" t="shared" si="108" ref="EN17:EN27">EM17*EL17</f>
        <v>0</v>
      </c>
      <c r="EO17" s="2"/>
      <c r="EP17" s="2">
        <f aca="true" t="shared" si="109" ref="EP17:EP27">EO17*EL17</f>
        <v>0</v>
      </c>
      <c r="EQ17" s="72"/>
      <c r="ER17" s="72"/>
      <c r="ES17" s="72">
        <v>2</v>
      </c>
      <c r="ET17" s="72"/>
      <c r="EU17" s="73">
        <f aca="true" t="shared" si="110" ref="EU17:EU27">ET17*ES17</f>
        <v>0</v>
      </c>
      <c r="EV17" s="72"/>
      <c r="EW17" s="72">
        <f aca="true" t="shared" si="111" ref="EW17:EW27">EV17*ES17</f>
        <v>0</v>
      </c>
      <c r="EX17" s="68"/>
      <c r="EY17" s="68"/>
      <c r="EZ17" s="68">
        <v>2</v>
      </c>
      <c r="FA17" s="68"/>
      <c r="FB17" s="10">
        <f aca="true" t="shared" si="112" ref="FB17:FB27">FA17*EZ17</f>
        <v>0</v>
      </c>
      <c r="FC17" s="68"/>
      <c r="FD17" s="68">
        <f aca="true" t="shared" si="113" ref="FD17:FD27">FC17*EZ17</f>
        <v>0</v>
      </c>
      <c r="FE17" s="72"/>
      <c r="FF17" s="72"/>
      <c r="FG17" s="72">
        <v>2</v>
      </c>
      <c r="FH17" s="72"/>
      <c r="FI17" s="73">
        <f aca="true" t="shared" si="114" ref="FI17:FI27">FH17*FG17</f>
        <v>0</v>
      </c>
      <c r="FJ17" s="72"/>
      <c r="FK17" s="72">
        <f aca="true" t="shared" si="115" ref="FK17:FK27">FJ17*FG17</f>
        <v>0</v>
      </c>
      <c r="FL17" s="68"/>
      <c r="FM17" s="68"/>
      <c r="FN17" s="68">
        <v>2</v>
      </c>
      <c r="FO17" s="68"/>
      <c r="FP17" s="10">
        <f aca="true" t="shared" si="116" ref="FP17:FP27">FO17*FN17</f>
        <v>0</v>
      </c>
      <c r="FQ17" s="68"/>
      <c r="FR17" s="68">
        <f aca="true" t="shared" si="117" ref="FR17:FR27">FQ17*FN17</f>
        <v>0</v>
      </c>
      <c r="FS17" s="72"/>
      <c r="FT17" s="72"/>
      <c r="FU17" s="72">
        <v>2</v>
      </c>
      <c r="FV17" s="72"/>
      <c r="FW17" s="73">
        <f aca="true" t="shared" si="118" ref="FW17:FW27">FV17*FU17</f>
        <v>0</v>
      </c>
      <c r="FX17" s="72"/>
      <c r="FY17" s="72">
        <f aca="true" t="shared" si="119" ref="FY17:FY27">FX17*FU17</f>
        <v>0</v>
      </c>
      <c r="FZ17" s="72"/>
      <c r="GA17" s="72"/>
      <c r="GB17" s="72">
        <v>2</v>
      </c>
      <c r="GC17" s="72"/>
      <c r="GD17" s="73">
        <f aca="true" t="shared" si="120" ref="GD17:GD27">GC17*GB17</f>
        <v>0</v>
      </c>
      <c r="GE17" s="72"/>
      <c r="GF17" s="72">
        <f aca="true" t="shared" si="121" ref="GF17:GF27">GE17*GB17</f>
        <v>0</v>
      </c>
      <c r="GG17" s="68"/>
      <c r="GH17" s="68"/>
      <c r="GI17" s="68">
        <v>2</v>
      </c>
      <c r="GJ17" s="68"/>
      <c r="GK17" s="10">
        <f aca="true" t="shared" si="122" ref="GK17:GK27">GJ17*GI17</f>
        <v>0</v>
      </c>
      <c r="GL17" s="68"/>
      <c r="GM17" s="68">
        <f aca="true" t="shared" si="123" ref="GM17:GM27">GL17*GI17</f>
        <v>0</v>
      </c>
      <c r="GN17" s="72"/>
      <c r="GO17" s="72"/>
      <c r="GP17" s="72">
        <v>2</v>
      </c>
      <c r="GQ17" s="72"/>
      <c r="GR17" s="73">
        <f aca="true" t="shared" si="124" ref="GR17:GR27">GQ17*GP17</f>
        <v>0</v>
      </c>
      <c r="GS17" s="72"/>
      <c r="GT17" s="72">
        <f aca="true" t="shared" si="125" ref="GT17:GT27">GS17*GP17</f>
        <v>0</v>
      </c>
      <c r="GU17" s="68"/>
      <c r="GV17" s="68"/>
      <c r="GW17" s="68">
        <v>2</v>
      </c>
      <c r="GX17" s="68"/>
      <c r="GY17" s="10">
        <f aca="true" t="shared" si="126" ref="GY17:GY27">GX17*GW17</f>
        <v>0</v>
      </c>
      <c r="GZ17" s="68"/>
      <c r="HA17" s="68">
        <f aca="true" t="shared" si="127" ref="HA17:HA27">GZ17*GW17</f>
        <v>0</v>
      </c>
      <c r="HB17" s="72"/>
      <c r="HC17" s="72"/>
      <c r="HD17" s="72">
        <v>2</v>
      </c>
      <c r="HE17" s="72"/>
      <c r="HF17" s="73">
        <f aca="true" t="shared" si="128" ref="HF17:HF27">HE17*HD17</f>
        <v>0</v>
      </c>
      <c r="HG17" s="72"/>
      <c r="HH17" s="72">
        <f aca="true" t="shared" si="129" ref="HH17:HH27">HG17*HD17</f>
        <v>0</v>
      </c>
      <c r="HI17" s="72"/>
      <c r="HJ17" s="72"/>
      <c r="HK17" s="72">
        <v>2</v>
      </c>
      <c r="HL17" s="72"/>
      <c r="HM17" s="73">
        <f aca="true" t="shared" si="130" ref="HM17:HM27">HL17*HK17</f>
        <v>0</v>
      </c>
      <c r="HN17" s="72"/>
      <c r="HO17" s="72">
        <f aca="true" t="shared" si="131" ref="HO17:HO27">HN17*HK17</f>
        <v>0</v>
      </c>
      <c r="HP17" s="68"/>
      <c r="HQ17" s="68"/>
      <c r="HR17" s="68">
        <v>2</v>
      </c>
      <c r="HS17" s="68"/>
      <c r="HT17" s="10">
        <f aca="true" t="shared" si="132" ref="HT17:HT27">HS17*HR17</f>
        <v>0</v>
      </c>
      <c r="HU17" s="68"/>
      <c r="HV17" s="68">
        <f aca="true" t="shared" si="133" ref="HV17:HV27">HU17*HR17</f>
        <v>0</v>
      </c>
      <c r="HW17" s="72"/>
      <c r="HX17" s="72"/>
      <c r="HY17" s="72">
        <v>2</v>
      </c>
      <c r="HZ17" s="72"/>
      <c r="IA17" s="73">
        <f aca="true" t="shared" si="134" ref="IA17:IA27">HZ17*HY17</f>
        <v>0</v>
      </c>
      <c r="IB17" s="72"/>
      <c r="IC17" s="72">
        <f aca="true" t="shared" si="135" ref="IC17:IC27">IB17*HY17</f>
        <v>0</v>
      </c>
      <c r="ID17" s="68"/>
      <c r="IE17" s="68"/>
      <c r="IF17" s="68">
        <v>2</v>
      </c>
      <c r="IG17" s="68"/>
      <c r="IH17" s="10">
        <f aca="true" t="shared" si="136" ref="IH17:IH27">IG17*IF17</f>
        <v>0</v>
      </c>
      <c r="II17" s="68"/>
      <c r="IJ17" s="68">
        <f aca="true" t="shared" si="137" ref="IJ17:IJ27">II17*IF17</f>
        <v>0</v>
      </c>
      <c r="IK17" s="72"/>
      <c r="IL17" s="72"/>
      <c r="IM17" s="72">
        <v>2</v>
      </c>
      <c r="IN17" s="72"/>
      <c r="IO17" s="73">
        <f aca="true" t="shared" si="138" ref="IO17:IO27">IN17*IM17</f>
        <v>0</v>
      </c>
      <c r="IP17" s="72"/>
      <c r="IQ17" s="72">
        <f aca="true" t="shared" si="139" ref="IQ17:IQ27">IP17*IM17</f>
        <v>0</v>
      </c>
    </row>
    <row r="18" spans="1:251" ht="32.25" customHeight="1">
      <c r="A18" s="115" t="s">
        <v>102</v>
      </c>
      <c r="B18" s="71"/>
      <c r="C18" s="72" t="s">
        <v>103</v>
      </c>
      <c r="D18" s="72" t="s">
        <v>104</v>
      </c>
      <c r="E18" s="72" t="s">
        <v>105</v>
      </c>
      <c r="F18" s="72" t="s">
        <v>46</v>
      </c>
      <c r="G18" s="68"/>
      <c r="H18" s="1"/>
      <c r="I18" s="1">
        <v>2</v>
      </c>
      <c r="J18" s="1"/>
      <c r="K18" s="10">
        <f t="shared" si="70"/>
        <v>0</v>
      </c>
      <c r="L18" s="1"/>
      <c r="M18" s="1">
        <f t="shared" si="71"/>
        <v>0</v>
      </c>
      <c r="N18" s="2"/>
      <c r="O18" s="2"/>
      <c r="P18" s="2">
        <v>2</v>
      </c>
      <c r="Q18" s="2"/>
      <c r="R18" s="3">
        <f t="shared" si="72"/>
        <v>0</v>
      </c>
      <c r="S18" s="2"/>
      <c r="T18" s="2">
        <f t="shared" si="73"/>
        <v>0</v>
      </c>
      <c r="U18" s="1"/>
      <c r="V18" s="1"/>
      <c r="W18" s="1">
        <v>2</v>
      </c>
      <c r="X18" s="1"/>
      <c r="Y18" s="10">
        <f t="shared" si="74"/>
        <v>0</v>
      </c>
      <c r="Z18" s="1"/>
      <c r="AA18" s="1">
        <f t="shared" si="75"/>
        <v>0</v>
      </c>
      <c r="AB18" s="2"/>
      <c r="AC18" s="2"/>
      <c r="AD18" s="2">
        <v>2</v>
      </c>
      <c r="AE18" s="2"/>
      <c r="AF18" s="3">
        <f t="shared" si="76"/>
        <v>0</v>
      </c>
      <c r="AG18" s="2"/>
      <c r="AH18" s="2">
        <f t="shared" si="77"/>
        <v>0</v>
      </c>
      <c r="AI18" s="1"/>
      <c r="AJ18" s="1"/>
      <c r="AK18" s="1">
        <v>2</v>
      </c>
      <c r="AL18" s="1"/>
      <c r="AM18" s="10">
        <f t="shared" si="78"/>
        <v>0</v>
      </c>
      <c r="AN18" s="1"/>
      <c r="AO18" s="1">
        <f t="shared" si="79"/>
        <v>0</v>
      </c>
      <c r="AP18" s="2"/>
      <c r="AQ18" s="2"/>
      <c r="AR18" s="2">
        <v>2</v>
      </c>
      <c r="AS18" s="2"/>
      <c r="AT18" s="3">
        <f t="shared" si="80"/>
        <v>0</v>
      </c>
      <c r="AU18" s="2"/>
      <c r="AV18" s="2">
        <f t="shared" si="81"/>
        <v>0</v>
      </c>
      <c r="AW18" s="1"/>
      <c r="AX18" s="1"/>
      <c r="AY18" s="1">
        <v>2</v>
      </c>
      <c r="AZ18" s="1"/>
      <c r="BA18" s="10">
        <f t="shared" si="82"/>
        <v>0</v>
      </c>
      <c r="BB18" s="1"/>
      <c r="BC18" s="1">
        <f t="shared" si="83"/>
        <v>0</v>
      </c>
      <c r="BD18" s="2"/>
      <c r="BE18" s="2"/>
      <c r="BF18" s="2">
        <v>2</v>
      </c>
      <c r="BG18" s="2"/>
      <c r="BH18" s="3">
        <f t="shared" si="84"/>
        <v>0</v>
      </c>
      <c r="BI18" s="2"/>
      <c r="BJ18" s="2">
        <f t="shared" si="85"/>
        <v>0</v>
      </c>
      <c r="BK18" s="1"/>
      <c r="BL18" s="1"/>
      <c r="BM18" s="1">
        <v>2</v>
      </c>
      <c r="BN18" s="1"/>
      <c r="BO18" s="10">
        <f t="shared" si="86"/>
        <v>0</v>
      </c>
      <c r="BP18" s="1"/>
      <c r="BQ18" s="1">
        <f t="shared" si="87"/>
        <v>0</v>
      </c>
      <c r="BR18" s="2"/>
      <c r="BS18" s="2"/>
      <c r="BT18" s="2">
        <v>2</v>
      </c>
      <c r="BU18" s="2"/>
      <c r="BV18" s="3">
        <f t="shared" si="88"/>
        <v>0</v>
      </c>
      <c r="BW18" s="2"/>
      <c r="BX18" s="2">
        <f t="shared" si="89"/>
        <v>0</v>
      </c>
      <c r="BY18" s="1"/>
      <c r="BZ18" s="1"/>
      <c r="CA18" s="1">
        <v>2</v>
      </c>
      <c r="CB18" s="1"/>
      <c r="CC18" s="10">
        <f t="shared" si="90"/>
        <v>0</v>
      </c>
      <c r="CD18" s="1"/>
      <c r="CE18" s="1">
        <f t="shared" si="91"/>
        <v>0</v>
      </c>
      <c r="CF18" s="2"/>
      <c r="CG18" s="2"/>
      <c r="CH18" s="2">
        <v>2</v>
      </c>
      <c r="CI18" s="2"/>
      <c r="CJ18" s="3">
        <f t="shared" si="92"/>
        <v>0</v>
      </c>
      <c r="CK18" s="2"/>
      <c r="CL18" s="2">
        <f t="shared" si="93"/>
        <v>0</v>
      </c>
      <c r="CM18" s="1"/>
      <c r="CN18" s="1"/>
      <c r="CO18" s="1">
        <v>2</v>
      </c>
      <c r="CP18" s="1"/>
      <c r="CQ18" s="10">
        <f t="shared" si="94"/>
        <v>0</v>
      </c>
      <c r="CR18" s="1"/>
      <c r="CS18" s="1">
        <f t="shared" si="95"/>
        <v>0</v>
      </c>
      <c r="CT18" s="2"/>
      <c r="CU18" s="2"/>
      <c r="CV18" s="2">
        <v>2</v>
      </c>
      <c r="CW18" s="2"/>
      <c r="CX18" s="3">
        <f t="shared" si="96"/>
        <v>0</v>
      </c>
      <c r="CY18" s="2"/>
      <c r="CZ18" s="2">
        <f t="shared" si="97"/>
        <v>0</v>
      </c>
      <c r="DA18" s="1"/>
      <c r="DB18" s="1"/>
      <c r="DC18" s="1">
        <v>2</v>
      </c>
      <c r="DD18" s="1"/>
      <c r="DE18" s="10">
        <f t="shared" si="98"/>
        <v>0</v>
      </c>
      <c r="DF18" s="1"/>
      <c r="DG18" s="1">
        <f t="shared" si="99"/>
        <v>0</v>
      </c>
      <c r="DH18" s="2"/>
      <c r="DI18" s="2"/>
      <c r="DJ18" s="2">
        <v>2</v>
      </c>
      <c r="DK18" s="2"/>
      <c r="DL18" s="3">
        <f t="shared" si="100"/>
        <v>0</v>
      </c>
      <c r="DM18" s="2"/>
      <c r="DN18" s="2">
        <f t="shared" si="101"/>
        <v>0</v>
      </c>
      <c r="DO18" s="1"/>
      <c r="DP18" s="1"/>
      <c r="DQ18" s="1">
        <v>2</v>
      </c>
      <c r="DR18" s="1"/>
      <c r="DS18" s="10">
        <f t="shared" si="102"/>
        <v>0</v>
      </c>
      <c r="DT18" s="1"/>
      <c r="DU18" s="1">
        <f t="shared" si="103"/>
        <v>0</v>
      </c>
      <c r="DV18" s="2"/>
      <c r="DW18" s="2"/>
      <c r="DX18" s="2">
        <v>2</v>
      </c>
      <c r="DY18" s="2"/>
      <c r="DZ18" s="3">
        <f t="shared" si="104"/>
        <v>0</v>
      </c>
      <c r="EA18" s="2"/>
      <c r="EB18" s="2">
        <f t="shared" si="105"/>
        <v>0</v>
      </c>
      <c r="EC18" s="1"/>
      <c r="ED18" s="1"/>
      <c r="EE18" s="1">
        <v>2</v>
      </c>
      <c r="EF18" s="1"/>
      <c r="EG18" s="10">
        <f t="shared" si="106"/>
        <v>0</v>
      </c>
      <c r="EH18" s="1"/>
      <c r="EI18" s="1">
        <f t="shared" si="107"/>
        <v>0</v>
      </c>
      <c r="EJ18" s="2"/>
      <c r="EK18" s="2"/>
      <c r="EL18" s="2">
        <v>2</v>
      </c>
      <c r="EM18" s="2"/>
      <c r="EN18" s="3">
        <f t="shared" si="108"/>
        <v>0</v>
      </c>
      <c r="EO18" s="2"/>
      <c r="EP18" s="2">
        <f t="shared" si="109"/>
        <v>0</v>
      </c>
      <c r="EQ18" s="72"/>
      <c r="ER18" s="72"/>
      <c r="ES18" s="72">
        <v>2</v>
      </c>
      <c r="ET18" s="72"/>
      <c r="EU18" s="73">
        <f t="shared" si="110"/>
        <v>0</v>
      </c>
      <c r="EV18" s="72"/>
      <c r="EW18" s="72">
        <f t="shared" si="111"/>
        <v>0</v>
      </c>
      <c r="EX18" s="68"/>
      <c r="EY18" s="68"/>
      <c r="EZ18" s="68">
        <v>2</v>
      </c>
      <c r="FA18" s="68"/>
      <c r="FB18" s="10">
        <f t="shared" si="112"/>
        <v>0</v>
      </c>
      <c r="FC18" s="68"/>
      <c r="FD18" s="68">
        <f t="shared" si="113"/>
        <v>0</v>
      </c>
      <c r="FE18" s="72"/>
      <c r="FF18" s="72"/>
      <c r="FG18" s="72">
        <v>2</v>
      </c>
      <c r="FH18" s="72"/>
      <c r="FI18" s="73">
        <f t="shared" si="114"/>
        <v>0</v>
      </c>
      <c r="FJ18" s="72"/>
      <c r="FK18" s="72">
        <f t="shared" si="115"/>
        <v>0</v>
      </c>
      <c r="FL18" s="68"/>
      <c r="FM18" s="68"/>
      <c r="FN18" s="68">
        <v>2</v>
      </c>
      <c r="FO18" s="68"/>
      <c r="FP18" s="10">
        <f t="shared" si="116"/>
        <v>0</v>
      </c>
      <c r="FQ18" s="68"/>
      <c r="FR18" s="68">
        <f t="shared" si="117"/>
        <v>0</v>
      </c>
      <c r="FS18" s="72"/>
      <c r="FT18" s="72"/>
      <c r="FU18" s="72">
        <v>2</v>
      </c>
      <c r="FV18" s="72"/>
      <c r="FW18" s="73">
        <f t="shared" si="118"/>
        <v>0</v>
      </c>
      <c r="FX18" s="72"/>
      <c r="FY18" s="72">
        <f t="shared" si="119"/>
        <v>0</v>
      </c>
      <c r="FZ18" s="72"/>
      <c r="GA18" s="72"/>
      <c r="GB18" s="72">
        <v>2</v>
      </c>
      <c r="GC18" s="72"/>
      <c r="GD18" s="73">
        <f t="shared" si="120"/>
        <v>0</v>
      </c>
      <c r="GE18" s="72"/>
      <c r="GF18" s="72">
        <f t="shared" si="121"/>
        <v>0</v>
      </c>
      <c r="GG18" s="68"/>
      <c r="GH18" s="68"/>
      <c r="GI18" s="68">
        <v>2</v>
      </c>
      <c r="GJ18" s="68"/>
      <c r="GK18" s="10">
        <f t="shared" si="122"/>
        <v>0</v>
      </c>
      <c r="GL18" s="68"/>
      <c r="GM18" s="68">
        <f t="shared" si="123"/>
        <v>0</v>
      </c>
      <c r="GN18" s="72"/>
      <c r="GO18" s="72"/>
      <c r="GP18" s="72">
        <v>2</v>
      </c>
      <c r="GQ18" s="72"/>
      <c r="GR18" s="73">
        <f t="shared" si="124"/>
        <v>0</v>
      </c>
      <c r="GS18" s="72"/>
      <c r="GT18" s="72">
        <f t="shared" si="125"/>
        <v>0</v>
      </c>
      <c r="GU18" s="68"/>
      <c r="GV18" s="68"/>
      <c r="GW18" s="68">
        <v>2</v>
      </c>
      <c r="GX18" s="68"/>
      <c r="GY18" s="10">
        <f t="shared" si="126"/>
        <v>0</v>
      </c>
      <c r="GZ18" s="68"/>
      <c r="HA18" s="68">
        <f t="shared" si="127"/>
        <v>0</v>
      </c>
      <c r="HB18" s="72"/>
      <c r="HC18" s="72"/>
      <c r="HD18" s="72">
        <v>2</v>
      </c>
      <c r="HE18" s="72"/>
      <c r="HF18" s="73">
        <f t="shared" si="128"/>
        <v>0</v>
      </c>
      <c r="HG18" s="72"/>
      <c r="HH18" s="72">
        <f t="shared" si="129"/>
        <v>0</v>
      </c>
      <c r="HI18" s="72"/>
      <c r="HJ18" s="72"/>
      <c r="HK18" s="72">
        <v>2</v>
      </c>
      <c r="HL18" s="72"/>
      <c r="HM18" s="73">
        <f t="shared" si="130"/>
        <v>0</v>
      </c>
      <c r="HN18" s="72"/>
      <c r="HO18" s="72">
        <f t="shared" si="131"/>
        <v>0</v>
      </c>
      <c r="HP18" s="68"/>
      <c r="HQ18" s="68"/>
      <c r="HR18" s="68">
        <v>2</v>
      </c>
      <c r="HS18" s="68"/>
      <c r="HT18" s="10">
        <f t="shared" si="132"/>
        <v>0</v>
      </c>
      <c r="HU18" s="68"/>
      <c r="HV18" s="68">
        <f t="shared" si="133"/>
        <v>0</v>
      </c>
      <c r="HW18" s="72"/>
      <c r="HX18" s="72"/>
      <c r="HY18" s="72">
        <v>2</v>
      </c>
      <c r="HZ18" s="72"/>
      <c r="IA18" s="73">
        <f t="shared" si="134"/>
        <v>0</v>
      </c>
      <c r="IB18" s="72"/>
      <c r="IC18" s="72">
        <f t="shared" si="135"/>
        <v>0</v>
      </c>
      <c r="ID18" s="68"/>
      <c r="IE18" s="68"/>
      <c r="IF18" s="68">
        <v>2</v>
      </c>
      <c r="IG18" s="68"/>
      <c r="IH18" s="10">
        <f t="shared" si="136"/>
        <v>0</v>
      </c>
      <c r="II18" s="68"/>
      <c r="IJ18" s="68">
        <f t="shared" si="137"/>
        <v>0</v>
      </c>
      <c r="IK18" s="72"/>
      <c r="IL18" s="72"/>
      <c r="IM18" s="72">
        <v>2</v>
      </c>
      <c r="IN18" s="72"/>
      <c r="IO18" s="73">
        <f t="shared" si="138"/>
        <v>0</v>
      </c>
      <c r="IP18" s="72"/>
      <c r="IQ18" s="72">
        <f t="shared" si="139"/>
        <v>0</v>
      </c>
    </row>
    <row r="19" spans="1:251" ht="22.5" customHeight="1">
      <c r="A19" s="115" t="s">
        <v>106</v>
      </c>
      <c r="B19" s="71"/>
      <c r="C19" s="72" t="s">
        <v>107</v>
      </c>
      <c r="D19" s="72" t="s">
        <v>108</v>
      </c>
      <c r="E19" s="72" t="s">
        <v>109</v>
      </c>
      <c r="F19" s="72" t="s">
        <v>47</v>
      </c>
      <c r="G19" s="68"/>
      <c r="H19" s="1"/>
      <c r="I19" s="1">
        <v>2</v>
      </c>
      <c r="J19" s="1"/>
      <c r="K19" s="10">
        <f t="shared" si="70"/>
        <v>0</v>
      </c>
      <c r="L19" s="1"/>
      <c r="M19" s="1">
        <f t="shared" si="71"/>
        <v>0</v>
      </c>
      <c r="N19" s="2"/>
      <c r="O19" s="2"/>
      <c r="P19" s="2">
        <v>2</v>
      </c>
      <c r="Q19" s="2"/>
      <c r="R19" s="3">
        <f t="shared" si="72"/>
        <v>0</v>
      </c>
      <c r="S19" s="2"/>
      <c r="T19" s="2">
        <f t="shared" si="73"/>
        <v>0</v>
      </c>
      <c r="U19" s="1"/>
      <c r="V19" s="1"/>
      <c r="W19" s="1">
        <v>2</v>
      </c>
      <c r="X19" s="1"/>
      <c r="Y19" s="10">
        <f t="shared" si="74"/>
        <v>0</v>
      </c>
      <c r="Z19" s="1"/>
      <c r="AA19" s="1">
        <f t="shared" si="75"/>
        <v>0</v>
      </c>
      <c r="AB19" s="2"/>
      <c r="AC19" s="2"/>
      <c r="AD19" s="2">
        <v>2</v>
      </c>
      <c r="AE19" s="2"/>
      <c r="AF19" s="3">
        <f t="shared" si="76"/>
        <v>0</v>
      </c>
      <c r="AG19" s="2"/>
      <c r="AH19" s="2">
        <f t="shared" si="77"/>
        <v>0</v>
      </c>
      <c r="AI19" s="1"/>
      <c r="AJ19" s="1"/>
      <c r="AK19" s="1">
        <v>2</v>
      </c>
      <c r="AL19" s="1"/>
      <c r="AM19" s="10">
        <f t="shared" si="78"/>
        <v>0</v>
      </c>
      <c r="AN19" s="1"/>
      <c r="AO19" s="1">
        <f t="shared" si="79"/>
        <v>0</v>
      </c>
      <c r="AP19" s="2"/>
      <c r="AQ19" s="2"/>
      <c r="AR19" s="2">
        <v>2</v>
      </c>
      <c r="AS19" s="2"/>
      <c r="AT19" s="3">
        <f t="shared" si="80"/>
        <v>0</v>
      </c>
      <c r="AU19" s="2"/>
      <c r="AV19" s="2">
        <f t="shared" si="81"/>
        <v>0</v>
      </c>
      <c r="AW19" s="1"/>
      <c r="AX19" s="1"/>
      <c r="AY19" s="1">
        <v>2</v>
      </c>
      <c r="AZ19" s="1"/>
      <c r="BA19" s="10">
        <f t="shared" si="82"/>
        <v>0</v>
      </c>
      <c r="BB19" s="1"/>
      <c r="BC19" s="1">
        <f t="shared" si="83"/>
        <v>0</v>
      </c>
      <c r="BD19" s="2"/>
      <c r="BE19" s="2"/>
      <c r="BF19" s="2">
        <v>2</v>
      </c>
      <c r="BG19" s="2"/>
      <c r="BH19" s="3">
        <f t="shared" si="84"/>
        <v>0</v>
      </c>
      <c r="BI19" s="2"/>
      <c r="BJ19" s="2">
        <f t="shared" si="85"/>
        <v>0</v>
      </c>
      <c r="BK19" s="1"/>
      <c r="BL19" s="1"/>
      <c r="BM19" s="1">
        <v>2</v>
      </c>
      <c r="BN19" s="1"/>
      <c r="BO19" s="10">
        <f t="shared" si="86"/>
        <v>0</v>
      </c>
      <c r="BP19" s="1"/>
      <c r="BQ19" s="1">
        <f t="shared" si="87"/>
        <v>0</v>
      </c>
      <c r="BR19" s="2"/>
      <c r="BS19" s="2"/>
      <c r="BT19" s="2">
        <v>2</v>
      </c>
      <c r="BU19" s="2"/>
      <c r="BV19" s="3">
        <f t="shared" si="88"/>
        <v>0</v>
      </c>
      <c r="BW19" s="2"/>
      <c r="BX19" s="2">
        <f t="shared" si="89"/>
        <v>0</v>
      </c>
      <c r="BY19" s="1"/>
      <c r="BZ19" s="1"/>
      <c r="CA19" s="1">
        <v>2</v>
      </c>
      <c r="CB19" s="1"/>
      <c r="CC19" s="10">
        <f t="shared" si="90"/>
        <v>0</v>
      </c>
      <c r="CD19" s="1"/>
      <c r="CE19" s="1">
        <f t="shared" si="91"/>
        <v>0</v>
      </c>
      <c r="CF19" s="2"/>
      <c r="CG19" s="2"/>
      <c r="CH19" s="2">
        <v>2</v>
      </c>
      <c r="CI19" s="2"/>
      <c r="CJ19" s="3">
        <f t="shared" si="92"/>
        <v>0</v>
      </c>
      <c r="CK19" s="2"/>
      <c r="CL19" s="2">
        <f t="shared" si="93"/>
        <v>0</v>
      </c>
      <c r="CM19" s="1"/>
      <c r="CN19" s="1"/>
      <c r="CO19" s="1">
        <v>2</v>
      </c>
      <c r="CP19" s="1"/>
      <c r="CQ19" s="10">
        <f t="shared" si="94"/>
        <v>0</v>
      </c>
      <c r="CR19" s="1"/>
      <c r="CS19" s="1">
        <f t="shared" si="95"/>
        <v>0</v>
      </c>
      <c r="CT19" s="2"/>
      <c r="CU19" s="2"/>
      <c r="CV19" s="2">
        <v>2</v>
      </c>
      <c r="CW19" s="2"/>
      <c r="CX19" s="3">
        <f t="shared" si="96"/>
        <v>0</v>
      </c>
      <c r="CY19" s="2"/>
      <c r="CZ19" s="2">
        <f t="shared" si="97"/>
        <v>0</v>
      </c>
      <c r="DA19" s="1"/>
      <c r="DB19" s="1"/>
      <c r="DC19" s="1">
        <v>2</v>
      </c>
      <c r="DD19" s="1"/>
      <c r="DE19" s="10">
        <f t="shared" si="98"/>
        <v>0</v>
      </c>
      <c r="DF19" s="1"/>
      <c r="DG19" s="1">
        <f t="shared" si="99"/>
        <v>0</v>
      </c>
      <c r="DH19" s="2"/>
      <c r="DI19" s="2"/>
      <c r="DJ19" s="2">
        <v>2</v>
      </c>
      <c r="DK19" s="2"/>
      <c r="DL19" s="3">
        <f t="shared" si="100"/>
        <v>0</v>
      </c>
      <c r="DM19" s="2"/>
      <c r="DN19" s="2">
        <f t="shared" si="101"/>
        <v>0</v>
      </c>
      <c r="DO19" s="1"/>
      <c r="DP19" s="1"/>
      <c r="DQ19" s="1">
        <v>2</v>
      </c>
      <c r="DR19" s="1"/>
      <c r="DS19" s="10">
        <f t="shared" si="102"/>
        <v>0</v>
      </c>
      <c r="DT19" s="1"/>
      <c r="DU19" s="1">
        <f t="shared" si="103"/>
        <v>0</v>
      </c>
      <c r="DV19" s="2"/>
      <c r="DW19" s="2"/>
      <c r="DX19" s="2">
        <v>2</v>
      </c>
      <c r="DY19" s="2"/>
      <c r="DZ19" s="3">
        <f t="shared" si="104"/>
        <v>0</v>
      </c>
      <c r="EA19" s="2"/>
      <c r="EB19" s="2">
        <f t="shared" si="105"/>
        <v>0</v>
      </c>
      <c r="EC19" s="1"/>
      <c r="ED19" s="1"/>
      <c r="EE19" s="1">
        <v>2</v>
      </c>
      <c r="EF19" s="1"/>
      <c r="EG19" s="10">
        <f t="shared" si="106"/>
        <v>0</v>
      </c>
      <c r="EH19" s="1"/>
      <c r="EI19" s="1">
        <f t="shared" si="107"/>
        <v>0</v>
      </c>
      <c r="EJ19" s="2"/>
      <c r="EK19" s="2"/>
      <c r="EL19" s="2">
        <v>2</v>
      </c>
      <c r="EM19" s="2"/>
      <c r="EN19" s="3">
        <f t="shared" si="108"/>
        <v>0</v>
      </c>
      <c r="EO19" s="2"/>
      <c r="EP19" s="2">
        <f t="shared" si="109"/>
        <v>0</v>
      </c>
      <c r="EQ19" s="72"/>
      <c r="ER19" s="72"/>
      <c r="ES19" s="72">
        <v>2</v>
      </c>
      <c r="ET19" s="72"/>
      <c r="EU19" s="73">
        <f t="shared" si="110"/>
        <v>0</v>
      </c>
      <c r="EV19" s="72"/>
      <c r="EW19" s="72">
        <f t="shared" si="111"/>
        <v>0</v>
      </c>
      <c r="EX19" s="68"/>
      <c r="EY19" s="68"/>
      <c r="EZ19" s="68">
        <v>2</v>
      </c>
      <c r="FA19" s="68"/>
      <c r="FB19" s="10">
        <f t="shared" si="112"/>
        <v>0</v>
      </c>
      <c r="FC19" s="68"/>
      <c r="FD19" s="68">
        <f t="shared" si="113"/>
        <v>0</v>
      </c>
      <c r="FE19" s="72"/>
      <c r="FF19" s="72"/>
      <c r="FG19" s="72">
        <v>2</v>
      </c>
      <c r="FH19" s="72"/>
      <c r="FI19" s="73">
        <f t="shared" si="114"/>
        <v>0</v>
      </c>
      <c r="FJ19" s="72"/>
      <c r="FK19" s="72">
        <f t="shared" si="115"/>
        <v>0</v>
      </c>
      <c r="FL19" s="68"/>
      <c r="FM19" s="68"/>
      <c r="FN19" s="68">
        <v>2</v>
      </c>
      <c r="FO19" s="68"/>
      <c r="FP19" s="10">
        <f t="shared" si="116"/>
        <v>0</v>
      </c>
      <c r="FQ19" s="68"/>
      <c r="FR19" s="68">
        <f t="shared" si="117"/>
        <v>0</v>
      </c>
      <c r="FS19" s="72"/>
      <c r="FT19" s="72"/>
      <c r="FU19" s="72">
        <v>2</v>
      </c>
      <c r="FV19" s="72"/>
      <c r="FW19" s="73">
        <f t="shared" si="118"/>
        <v>0</v>
      </c>
      <c r="FX19" s="72"/>
      <c r="FY19" s="72">
        <f t="shared" si="119"/>
        <v>0</v>
      </c>
      <c r="FZ19" s="72"/>
      <c r="GA19" s="72"/>
      <c r="GB19" s="72">
        <v>2</v>
      </c>
      <c r="GC19" s="72"/>
      <c r="GD19" s="73">
        <f t="shared" si="120"/>
        <v>0</v>
      </c>
      <c r="GE19" s="72"/>
      <c r="GF19" s="72">
        <f t="shared" si="121"/>
        <v>0</v>
      </c>
      <c r="GG19" s="68"/>
      <c r="GH19" s="68"/>
      <c r="GI19" s="68">
        <v>2</v>
      </c>
      <c r="GJ19" s="68"/>
      <c r="GK19" s="10">
        <f t="shared" si="122"/>
        <v>0</v>
      </c>
      <c r="GL19" s="68"/>
      <c r="GM19" s="68">
        <f t="shared" si="123"/>
        <v>0</v>
      </c>
      <c r="GN19" s="72"/>
      <c r="GO19" s="72"/>
      <c r="GP19" s="72">
        <v>2</v>
      </c>
      <c r="GQ19" s="72"/>
      <c r="GR19" s="73">
        <f t="shared" si="124"/>
        <v>0</v>
      </c>
      <c r="GS19" s="72"/>
      <c r="GT19" s="72">
        <f t="shared" si="125"/>
        <v>0</v>
      </c>
      <c r="GU19" s="68"/>
      <c r="GV19" s="68"/>
      <c r="GW19" s="68">
        <v>2</v>
      </c>
      <c r="GX19" s="68"/>
      <c r="GY19" s="10">
        <f t="shared" si="126"/>
        <v>0</v>
      </c>
      <c r="GZ19" s="68"/>
      <c r="HA19" s="68">
        <f t="shared" si="127"/>
        <v>0</v>
      </c>
      <c r="HB19" s="72"/>
      <c r="HC19" s="72"/>
      <c r="HD19" s="72">
        <v>2</v>
      </c>
      <c r="HE19" s="72"/>
      <c r="HF19" s="73">
        <f t="shared" si="128"/>
        <v>0</v>
      </c>
      <c r="HG19" s="72"/>
      <c r="HH19" s="72">
        <f t="shared" si="129"/>
        <v>0</v>
      </c>
      <c r="HI19" s="72"/>
      <c r="HJ19" s="72"/>
      <c r="HK19" s="72">
        <v>2</v>
      </c>
      <c r="HL19" s="72"/>
      <c r="HM19" s="73">
        <f t="shared" si="130"/>
        <v>0</v>
      </c>
      <c r="HN19" s="72"/>
      <c r="HO19" s="72">
        <f t="shared" si="131"/>
        <v>0</v>
      </c>
      <c r="HP19" s="68"/>
      <c r="HQ19" s="68"/>
      <c r="HR19" s="68">
        <v>2</v>
      </c>
      <c r="HS19" s="68"/>
      <c r="HT19" s="10">
        <f t="shared" si="132"/>
        <v>0</v>
      </c>
      <c r="HU19" s="68"/>
      <c r="HV19" s="68">
        <f t="shared" si="133"/>
        <v>0</v>
      </c>
      <c r="HW19" s="72"/>
      <c r="HX19" s="72"/>
      <c r="HY19" s="72">
        <v>2</v>
      </c>
      <c r="HZ19" s="72"/>
      <c r="IA19" s="73">
        <f t="shared" si="134"/>
        <v>0</v>
      </c>
      <c r="IB19" s="72"/>
      <c r="IC19" s="72">
        <f t="shared" si="135"/>
        <v>0</v>
      </c>
      <c r="ID19" s="68"/>
      <c r="IE19" s="68"/>
      <c r="IF19" s="68">
        <v>2</v>
      </c>
      <c r="IG19" s="68"/>
      <c r="IH19" s="10">
        <f t="shared" si="136"/>
        <v>0</v>
      </c>
      <c r="II19" s="68"/>
      <c r="IJ19" s="68">
        <f t="shared" si="137"/>
        <v>0</v>
      </c>
      <c r="IK19" s="72"/>
      <c r="IL19" s="72"/>
      <c r="IM19" s="72">
        <v>2</v>
      </c>
      <c r="IN19" s="72"/>
      <c r="IO19" s="73">
        <f t="shared" si="138"/>
        <v>0</v>
      </c>
      <c r="IP19" s="72"/>
      <c r="IQ19" s="72">
        <f t="shared" si="139"/>
        <v>0</v>
      </c>
    </row>
    <row r="20" spans="1:251" ht="33.75" customHeight="1">
      <c r="A20" s="115" t="s">
        <v>110</v>
      </c>
      <c r="B20" s="71" t="s">
        <v>111</v>
      </c>
      <c r="C20" s="72" t="s">
        <v>14</v>
      </c>
      <c r="D20" s="72" t="s">
        <v>15</v>
      </c>
      <c r="E20" s="72" t="s">
        <v>16</v>
      </c>
      <c r="F20" s="72" t="s">
        <v>16</v>
      </c>
      <c r="G20" s="68"/>
      <c r="H20" s="1"/>
      <c r="I20" s="1">
        <v>2</v>
      </c>
      <c r="J20" s="1"/>
      <c r="K20" s="10">
        <f t="shared" si="70"/>
        <v>0</v>
      </c>
      <c r="L20" s="1"/>
      <c r="M20" s="1">
        <f t="shared" si="71"/>
        <v>0</v>
      </c>
      <c r="N20" s="2"/>
      <c r="O20" s="2"/>
      <c r="P20" s="2">
        <v>2</v>
      </c>
      <c r="Q20" s="2"/>
      <c r="R20" s="3">
        <f t="shared" si="72"/>
        <v>0</v>
      </c>
      <c r="S20" s="2"/>
      <c r="T20" s="2">
        <f t="shared" si="73"/>
        <v>0</v>
      </c>
      <c r="U20" s="1"/>
      <c r="V20" s="1"/>
      <c r="W20" s="1">
        <v>2</v>
      </c>
      <c r="X20" s="1"/>
      <c r="Y20" s="10">
        <f t="shared" si="74"/>
        <v>0</v>
      </c>
      <c r="Z20" s="1"/>
      <c r="AA20" s="1">
        <f t="shared" si="75"/>
        <v>0</v>
      </c>
      <c r="AB20" s="2"/>
      <c r="AC20" s="2"/>
      <c r="AD20" s="2">
        <v>2</v>
      </c>
      <c r="AE20" s="2"/>
      <c r="AF20" s="3">
        <f t="shared" si="76"/>
        <v>0</v>
      </c>
      <c r="AG20" s="2"/>
      <c r="AH20" s="2">
        <f t="shared" si="77"/>
        <v>0</v>
      </c>
      <c r="AI20" s="1"/>
      <c r="AJ20" s="1"/>
      <c r="AK20" s="1">
        <v>2</v>
      </c>
      <c r="AL20" s="1"/>
      <c r="AM20" s="10">
        <f t="shared" si="78"/>
        <v>0</v>
      </c>
      <c r="AN20" s="1"/>
      <c r="AO20" s="1">
        <f t="shared" si="79"/>
        <v>0</v>
      </c>
      <c r="AP20" s="2"/>
      <c r="AQ20" s="2"/>
      <c r="AR20" s="2">
        <v>2</v>
      </c>
      <c r="AS20" s="2"/>
      <c r="AT20" s="3">
        <f t="shared" si="80"/>
        <v>0</v>
      </c>
      <c r="AU20" s="2"/>
      <c r="AV20" s="2">
        <f t="shared" si="81"/>
        <v>0</v>
      </c>
      <c r="AW20" s="1"/>
      <c r="AX20" s="1"/>
      <c r="AY20" s="1">
        <v>2</v>
      </c>
      <c r="AZ20" s="1"/>
      <c r="BA20" s="10">
        <f t="shared" si="82"/>
        <v>0</v>
      </c>
      <c r="BB20" s="1"/>
      <c r="BC20" s="1">
        <f t="shared" si="83"/>
        <v>0</v>
      </c>
      <c r="BD20" s="2"/>
      <c r="BE20" s="2"/>
      <c r="BF20" s="2">
        <v>2</v>
      </c>
      <c r="BG20" s="2"/>
      <c r="BH20" s="3">
        <f t="shared" si="84"/>
        <v>0</v>
      </c>
      <c r="BI20" s="2"/>
      <c r="BJ20" s="2">
        <f t="shared" si="85"/>
        <v>0</v>
      </c>
      <c r="BK20" s="1"/>
      <c r="BL20" s="1"/>
      <c r="BM20" s="1">
        <v>2</v>
      </c>
      <c r="BN20" s="1"/>
      <c r="BO20" s="10">
        <f t="shared" si="86"/>
        <v>0</v>
      </c>
      <c r="BP20" s="1"/>
      <c r="BQ20" s="1">
        <f t="shared" si="87"/>
        <v>0</v>
      </c>
      <c r="BR20" s="2"/>
      <c r="BS20" s="2"/>
      <c r="BT20" s="2">
        <v>2</v>
      </c>
      <c r="BU20" s="2"/>
      <c r="BV20" s="3">
        <f t="shared" si="88"/>
        <v>0</v>
      </c>
      <c r="BW20" s="2"/>
      <c r="BX20" s="2">
        <f t="shared" si="89"/>
        <v>0</v>
      </c>
      <c r="BY20" s="1"/>
      <c r="BZ20" s="1"/>
      <c r="CA20" s="1">
        <v>2</v>
      </c>
      <c r="CB20" s="1"/>
      <c r="CC20" s="10">
        <f t="shared" si="90"/>
        <v>0</v>
      </c>
      <c r="CD20" s="1"/>
      <c r="CE20" s="1">
        <f t="shared" si="91"/>
        <v>0</v>
      </c>
      <c r="CF20" s="2"/>
      <c r="CG20" s="2"/>
      <c r="CH20" s="2">
        <v>2</v>
      </c>
      <c r="CI20" s="2"/>
      <c r="CJ20" s="3">
        <f t="shared" si="92"/>
        <v>0</v>
      </c>
      <c r="CK20" s="2"/>
      <c r="CL20" s="2">
        <f t="shared" si="93"/>
        <v>0</v>
      </c>
      <c r="CM20" s="1"/>
      <c r="CN20" s="1"/>
      <c r="CO20" s="1">
        <v>2</v>
      </c>
      <c r="CP20" s="1"/>
      <c r="CQ20" s="10">
        <f t="shared" si="94"/>
        <v>0</v>
      </c>
      <c r="CR20" s="1"/>
      <c r="CS20" s="1">
        <f t="shared" si="95"/>
        <v>0</v>
      </c>
      <c r="CT20" s="2"/>
      <c r="CU20" s="2"/>
      <c r="CV20" s="2">
        <v>2</v>
      </c>
      <c r="CW20" s="2"/>
      <c r="CX20" s="3">
        <f t="shared" si="96"/>
        <v>0</v>
      </c>
      <c r="CY20" s="2"/>
      <c r="CZ20" s="2">
        <f t="shared" si="97"/>
        <v>0</v>
      </c>
      <c r="DA20" s="1"/>
      <c r="DB20" s="1"/>
      <c r="DC20" s="1">
        <v>2</v>
      </c>
      <c r="DD20" s="1"/>
      <c r="DE20" s="10">
        <f t="shared" si="98"/>
        <v>0</v>
      </c>
      <c r="DF20" s="1"/>
      <c r="DG20" s="1">
        <f t="shared" si="99"/>
        <v>0</v>
      </c>
      <c r="DH20" s="2"/>
      <c r="DI20" s="2"/>
      <c r="DJ20" s="2">
        <v>2</v>
      </c>
      <c r="DK20" s="2"/>
      <c r="DL20" s="3">
        <f t="shared" si="100"/>
        <v>0</v>
      </c>
      <c r="DM20" s="2"/>
      <c r="DN20" s="2">
        <f t="shared" si="101"/>
        <v>0</v>
      </c>
      <c r="DO20" s="1"/>
      <c r="DP20" s="1"/>
      <c r="DQ20" s="1">
        <v>2</v>
      </c>
      <c r="DR20" s="1"/>
      <c r="DS20" s="10">
        <f t="shared" si="102"/>
        <v>0</v>
      </c>
      <c r="DT20" s="1"/>
      <c r="DU20" s="1">
        <f t="shared" si="103"/>
        <v>0</v>
      </c>
      <c r="DV20" s="2"/>
      <c r="DW20" s="2"/>
      <c r="DX20" s="2">
        <v>2</v>
      </c>
      <c r="DY20" s="2"/>
      <c r="DZ20" s="3">
        <f t="shared" si="104"/>
        <v>0</v>
      </c>
      <c r="EA20" s="2"/>
      <c r="EB20" s="2">
        <f t="shared" si="105"/>
        <v>0</v>
      </c>
      <c r="EC20" s="1"/>
      <c r="ED20" s="1"/>
      <c r="EE20" s="1">
        <v>2</v>
      </c>
      <c r="EF20" s="1"/>
      <c r="EG20" s="10">
        <f t="shared" si="106"/>
        <v>0</v>
      </c>
      <c r="EH20" s="1"/>
      <c r="EI20" s="1">
        <f t="shared" si="107"/>
        <v>0</v>
      </c>
      <c r="EJ20" s="2"/>
      <c r="EK20" s="2"/>
      <c r="EL20" s="2">
        <v>2</v>
      </c>
      <c r="EM20" s="2"/>
      <c r="EN20" s="3">
        <f t="shared" si="108"/>
        <v>0</v>
      </c>
      <c r="EO20" s="2"/>
      <c r="EP20" s="2">
        <f t="shared" si="109"/>
        <v>0</v>
      </c>
      <c r="EQ20" s="72"/>
      <c r="ER20" s="72"/>
      <c r="ES20" s="72">
        <v>2</v>
      </c>
      <c r="ET20" s="72"/>
      <c r="EU20" s="73">
        <f t="shared" si="110"/>
        <v>0</v>
      </c>
      <c r="EV20" s="72"/>
      <c r="EW20" s="72">
        <f t="shared" si="111"/>
        <v>0</v>
      </c>
      <c r="EX20" s="68"/>
      <c r="EY20" s="68"/>
      <c r="EZ20" s="68">
        <v>2</v>
      </c>
      <c r="FA20" s="68"/>
      <c r="FB20" s="10">
        <f t="shared" si="112"/>
        <v>0</v>
      </c>
      <c r="FC20" s="68"/>
      <c r="FD20" s="68">
        <f t="shared" si="113"/>
        <v>0</v>
      </c>
      <c r="FE20" s="72"/>
      <c r="FF20" s="72"/>
      <c r="FG20" s="72">
        <v>2</v>
      </c>
      <c r="FH20" s="72"/>
      <c r="FI20" s="73">
        <f t="shared" si="114"/>
        <v>0</v>
      </c>
      <c r="FJ20" s="72"/>
      <c r="FK20" s="72">
        <f t="shared" si="115"/>
        <v>0</v>
      </c>
      <c r="FL20" s="68"/>
      <c r="FM20" s="68"/>
      <c r="FN20" s="68">
        <v>2</v>
      </c>
      <c r="FO20" s="68"/>
      <c r="FP20" s="10">
        <f t="shared" si="116"/>
        <v>0</v>
      </c>
      <c r="FQ20" s="68"/>
      <c r="FR20" s="68">
        <f t="shared" si="117"/>
        <v>0</v>
      </c>
      <c r="FS20" s="72"/>
      <c r="FT20" s="72"/>
      <c r="FU20" s="72">
        <v>2</v>
      </c>
      <c r="FV20" s="72"/>
      <c r="FW20" s="73">
        <f t="shared" si="118"/>
        <v>0</v>
      </c>
      <c r="FX20" s="72"/>
      <c r="FY20" s="72">
        <f t="shared" si="119"/>
        <v>0</v>
      </c>
      <c r="FZ20" s="72"/>
      <c r="GA20" s="72"/>
      <c r="GB20" s="72">
        <v>2</v>
      </c>
      <c r="GC20" s="72"/>
      <c r="GD20" s="73">
        <f t="shared" si="120"/>
        <v>0</v>
      </c>
      <c r="GE20" s="72"/>
      <c r="GF20" s="72">
        <f t="shared" si="121"/>
        <v>0</v>
      </c>
      <c r="GG20" s="68"/>
      <c r="GH20" s="68"/>
      <c r="GI20" s="68">
        <v>2</v>
      </c>
      <c r="GJ20" s="68"/>
      <c r="GK20" s="10">
        <f t="shared" si="122"/>
        <v>0</v>
      </c>
      <c r="GL20" s="68"/>
      <c r="GM20" s="68">
        <f t="shared" si="123"/>
        <v>0</v>
      </c>
      <c r="GN20" s="72"/>
      <c r="GO20" s="72"/>
      <c r="GP20" s="72">
        <v>2</v>
      </c>
      <c r="GQ20" s="72"/>
      <c r="GR20" s="73">
        <f t="shared" si="124"/>
        <v>0</v>
      </c>
      <c r="GS20" s="72"/>
      <c r="GT20" s="72">
        <f t="shared" si="125"/>
        <v>0</v>
      </c>
      <c r="GU20" s="68"/>
      <c r="GV20" s="68"/>
      <c r="GW20" s="68">
        <v>2</v>
      </c>
      <c r="GX20" s="68"/>
      <c r="GY20" s="10">
        <f t="shared" si="126"/>
        <v>0</v>
      </c>
      <c r="GZ20" s="68"/>
      <c r="HA20" s="68">
        <f t="shared" si="127"/>
        <v>0</v>
      </c>
      <c r="HB20" s="72"/>
      <c r="HC20" s="72"/>
      <c r="HD20" s="72">
        <v>2</v>
      </c>
      <c r="HE20" s="72"/>
      <c r="HF20" s="73">
        <f t="shared" si="128"/>
        <v>0</v>
      </c>
      <c r="HG20" s="72"/>
      <c r="HH20" s="72">
        <f t="shared" si="129"/>
        <v>0</v>
      </c>
      <c r="HI20" s="72"/>
      <c r="HJ20" s="72"/>
      <c r="HK20" s="72">
        <v>2</v>
      </c>
      <c r="HL20" s="72"/>
      <c r="HM20" s="73">
        <f t="shared" si="130"/>
        <v>0</v>
      </c>
      <c r="HN20" s="72"/>
      <c r="HO20" s="72">
        <f t="shared" si="131"/>
        <v>0</v>
      </c>
      <c r="HP20" s="68"/>
      <c r="HQ20" s="68"/>
      <c r="HR20" s="68">
        <v>2</v>
      </c>
      <c r="HS20" s="68"/>
      <c r="HT20" s="10">
        <f t="shared" si="132"/>
        <v>0</v>
      </c>
      <c r="HU20" s="68"/>
      <c r="HV20" s="68">
        <f t="shared" si="133"/>
        <v>0</v>
      </c>
      <c r="HW20" s="72"/>
      <c r="HX20" s="72"/>
      <c r="HY20" s="72">
        <v>2</v>
      </c>
      <c r="HZ20" s="72"/>
      <c r="IA20" s="73">
        <f t="shared" si="134"/>
        <v>0</v>
      </c>
      <c r="IB20" s="72"/>
      <c r="IC20" s="72">
        <f t="shared" si="135"/>
        <v>0</v>
      </c>
      <c r="ID20" s="68"/>
      <c r="IE20" s="68"/>
      <c r="IF20" s="68">
        <v>2</v>
      </c>
      <c r="IG20" s="68"/>
      <c r="IH20" s="10">
        <f t="shared" si="136"/>
        <v>0</v>
      </c>
      <c r="II20" s="68"/>
      <c r="IJ20" s="68">
        <f t="shared" si="137"/>
        <v>0</v>
      </c>
      <c r="IK20" s="72"/>
      <c r="IL20" s="72"/>
      <c r="IM20" s="72">
        <v>2</v>
      </c>
      <c r="IN20" s="72"/>
      <c r="IO20" s="73">
        <f t="shared" si="138"/>
        <v>0</v>
      </c>
      <c r="IP20" s="72"/>
      <c r="IQ20" s="72">
        <f t="shared" si="139"/>
        <v>0</v>
      </c>
    </row>
    <row r="21" spans="1:251" ht="59.25" customHeight="1">
      <c r="A21" s="115" t="s">
        <v>112</v>
      </c>
      <c r="B21" s="71"/>
      <c r="C21" s="72" t="s">
        <v>113</v>
      </c>
      <c r="D21" s="72" t="s">
        <v>114</v>
      </c>
      <c r="E21" s="72" t="s">
        <v>115</v>
      </c>
      <c r="F21" s="72" t="s">
        <v>57</v>
      </c>
      <c r="G21" s="68"/>
      <c r="H21" s="1"/>
      <c r="I21" s="1">
        <v>2</v>
      </c>
      <c r="J21" s="1"/>
      <c r="K21" s="10">
        <f t="shared" si="70"/>
        <v>0</v>
      </c>
      <c r="L21" s="1"/>
      <c r="M21" s="1">
        <f t="shared" si="71"/>
        <v>0</v>
      </c>
      <c r="N21" s="2"/>
      <c r="O21" s="2"/>
      <c r="P21" s="2">
        <v>2</v>
      </c>
      <c r="Q21" s="2"/>
      <c r="R21" s="3">
        <f t="shared" si="72"/>
        <v>0</v>
      </c>
      <c r="S21" s="2"/>
      <c r="T21" s="2">
        <f t="shared" si="73"/>
        <v>0</v>
      </c>
      <c r="U21" s="1"/>
      <c r="V21" s="1"/>
      <c r="W21" s="1">
        <v>2</v>
      </c>
      <c r="X21" s="1"/>
      <c r="Y21" s="10">
        <f t="shared" si="74"/>
        <v>0</v>
      </c>
      <c r="Z21" s="1"/>
      <c r="AA21" s="1">
        <f t="shared" si="75"/>
        <v>0</v>
      </c>
      <c r="AB21" s="2"/>
      <c r="AC21" s="2"/>
      <c r="AD21" s="2">
        <v>2</v>
      </c>
      <c r="AE21" s="2"/>
      <c r="AF21" s="3">
        <f t="shared" si="76"/>
        <v>0</v>
      </c>
      <c r="AG21" s="2"/>
      <c r="AH21" s="2">
        <f t="shared" si="77"/>
        <v>0</v>
      </c>
      <c r="AI21" s="1"/>
      <c r="AJ21" s="1"/>
      <c r="AK21" s="1">
        <v>2</v>
      </c>
      <c r="AL21" s="1"/>
      <c r="AM21" s="10">
        <f t="shared" si="78"/>
        <v>0</v>
      </c>
      <c r="AN21" s="1"/>
      <c r="AO21" s="1">
        <f t="shared" si="79"/>
        <v>0</v>
      </c>
      <c r="AP21" s="2"/>
      <c r="AQ21" s="2"/>
      <c r="AR21" s="2">
        <v>2</v>
      </c>
      <c r="AS21" s="2"/>
      <c r="AT21" s="3">
        <f t="shared" si="80"/>
        <v>0</v>
      </c>
      <c r="AU21" s="2"/>
      <c r="AV21" s="2">
        <f t="shared" si="81"/>
        <v>0</v>
      </c>
      <c r="AW21" s="1"/>
      <c r="AX21" s="1"/>
      <c r="AY21" s="1">
        <v>2</v>
      </c>
      <c r="AZ21" s="1"/>
      <c r="BA21" s="10">
        <f t="shared" si="82"/>
        <v>0</v>
      </c>
      <c r="BB21" s="1"/>
      <c r="BC21" s="1">
        <f t="shared" si="83"/>
        <v>0</v>
      </c>
      <c r="BD21" s="2"/>
      <c r="BE21" s="2"/>
      <c r="BF21" s="2">
        <v>2</v>
      </c>
      <c r="BG21" s="2"/>
      <c r="BH21" s="3">
        <f t="shared" si="84"/>
        <v>0</v>
      </c>
      <c r="BI21" s="2"/>
      <c r="BJ21" s="2">
        <f t="shared" si="85"/>
        <v>0</v>
      </c>
      <c r="BK21" s="1"/>
      <c r="BL21" s="1"/>
      <c r="BM21" s="1">
        <v>2</v>
      </c>
      <c r="BN21" s="1"/>
      <c r="BO21" s="10">
        <f t="shared" si="86"/>
        <v>0</v>
      </c>
      <c r="BP21" s="1"/>
      <c r="BQ21" s="1">
        <f t="shared" si="87"/>
        <v>0</v>
      </c>
      <c r="BR21" s="2"/>
      <c r="BS21" s="2"/>
      <c r="BT21" s="2">
        <v>2</v>
      </c>
      <c r="BU21" s="2"/>
      <c r="BV21" s="3">
        <f t="shared" si="88"/>
        <v>0</v>
      </c>
      <c r="BW21" s="2"/>
      <c r="BX21" s="2">
        <f t="shared" si="89"/>
        <v>0</v>
      </c>
      <c r="BY21" s="1"/>
      <c r="BZ21" s="1"/>
      <c r="CA21" s="1">
        <v>2</v>
      </c>
      <c r="CB21" s="1"/>
      <c r="CC21" s="10">
        <f t="shared" si="90"/>
        <v>0</v>
      </c>
      <c r="CD21" s="1"/>
      <c r="CE21" s="1">
        <f t="shared" si="91"/>
        <v>0</v>
      </c>
      <c r="CF21" s="2"/>
      <c r="CG21" s="2"/>
      <c r="CH21" s="2">
        <v>2</v>
      </c>
      <c r="CI21" s="2"/>
      <c r="CJ21" s="3">
        <f t="shared" si="92"/>
        <v>0</v>
      </c>
      <c r="CK21" s="2"/>
      <c r="CL21" s="2">
        <f t="shared" si="93"/>
        <v>0</v>
      </c>
      <c r="CM21" s="1"/>
      <c r="CN21" s="1"/>
      <c r="CO21" s="1">
        <v>2</v>
      </c>
      <c r="CP21" s="1"/>
      <c r="CQ21" s="10">
        <f t="shared" si="94"/>
        <v>0</v>
      </c>
      <c r="CR21" s="1"/>
      <c r="CS21" s="1">
        <f t="shared" si="95"/>
        <v>0</v>
      </c>
      <c r="CT21" s="2"/>
      <c r="CU21" s="2"/>
      <c r="CV21" s="2">
        <v>2</v>
      </c>
      <c r="CW21" s="2"/>
      <c r="CX21" s="3">
        <f t="shared" si="96"/>
        <v>0</v>
      </c>
      <c r="CY21" s="2"/>
      <c r="CZ21" s="2">
        <f t="shared" si="97"/>
        <v>0</v>
      </c>
      <c r="DA21" s="1"/>
      <c r="DB21" s="1"/>
      <c r="DC21" s="1">
        <v>2</v>
      </c>
      <c r="DD21" s="1"/>
      <c r="DE21" s="10">
        <f t="shared" si="98"/>
        <v>0</v>
      </c>
      <c r="DF21" s="1"/>
      <c r="DG21" s="1">
        <f t="shared" si="99"/>
        <v>0</v>
      </c>
      <c r="DH21" s="2"/>
      <c r="DI21" s="2"/>
      <c r="DJ21" s="2">
        <v>2</v>
      </c>
      <c r="DK21" s="2"/>
      <c r="DL21" s="3">
        <f t="shared" si="100"/>
        <v>0</v>
      </c>
      <c r="DM21" s="2"/>
      <c r="DN21" s="2">
        <f t="shared" si="101"/>
        <v>0</v>
      </c>
      <c r="DO21" s="1"/>
      <c r="DP21" s="1"/>
      <c r="DQ21" s="1">
        <v>2</v>
      </c>
      <c r="DR21" s="1"/>
      <c r="DS21" s="10">
        <f t="shared" si="102"/>
        <v>0</v>
      </c>
      <c r="DT21" s="1"/>
      <c r="DU21" s="1">
        <f t="shared" si="103"/>
        <v>0</v>
      </c>
      <c r="DV21" s="2"/>
      <c r="DW21" s="2"/>
      <c r="DX21" s="2">
        <v>2</v>
      </c>
      <c r="DY21" s="2"/>
      <c r="DZ21" s="3">
        <f t="shared" si="104"/>
        <v>0</v>
      </c>
      <c r="EA21" s="2"/>
      <c r="EB21" s="2">
        <f t="shared" si="105"/>
        <v>0</v>
      </c>
      <c r="EC21" s="1"/>
      <c r="ED21" s="1"/>
      <c r="EE21" s="1">
        <v>2</v>
      </c>
      <c r="EF21" s="1"/>
      <c r="EG21" s="10">
        <f t="shared" si="106"/>
        <v>0</v>
      </c>
      <c r="EH21" s="1"/>
      <c r="EI21" s="1">
        <f t="shared" si="107"/>
        <v>0</v>
      </c>
      <c r="EJ21" s="2"/>
      <c r="EK21" s="2"/>
      <c r="EL21" s="2">
        <v>2</v>
      </c>
      <c r="EM21" s="2"/>
      <c r="EN21" s="3">
        <f t="shared" si="108"/>
        <v>0</v>
      </c>
      <c r="EO21" s="2"/>
      <c r="EP21" s="2">
        <f t="shared" si="109"/>
        <v>0</v>
      </c>
      <c r="EQ21" s="72"/>
      <c r="ER21" s="72"/>
      <c r="ES21" s="72">
        <v>2</v>
      </c>
      <c r="ET21" s="72"/>
      <c r="EU21" s="73">
        <f t="shared" si="110"/>
        <v>0</v>
      </c>
      <c r="EV21" s="72"/>
      <c r="EW21" s="72">
        <f t="shared" si="111"/>
        <v>0</v>
      </c>
      <c r="EX21" s="68"/>
      <c r="EY21" s="68"/>
      <c r="EZ21" s="68">
        <v>2</v>
      </c>
      <c r="FA21" s="68"/>
      <c r="FB21" s="10">
        <f t="shared" si="112"/>
        <v>0</v>
      </c>
      <c r="FC21" s="68"/>
      <c r="FD21" s="68">
        <f t="shared" si="113"/>
        <v>0</v>
      </c>
      <c r="FE21" s="72"/>
      <c r="FF21" s="72"/>
      <c r="FG21" s="72">
        <v>2</v>
      </c>
      <c r="FH21" s="72"/>
      <c r="FI21" s="73">
        <f t="shared" si="114"/>
        <v>0</v>
      </c>
      <c r="FJ21" s="72"/>
      <c r="FK21" s="72">
        <f t="shared" si="115"/>
        <v>0</v>
      </c>
      <c r="FL21" s="68"/>
      <c r="FM21" s="68"/>
      <c r="FN21" s="68">
        <v>2</v>
      </c>
      <c r="FO21" s="68"/>
      <c r="FP21" s="10">
        <f t="shared" si="116"/>
        <v>0</v>
      </c>
      <c r="FQ21" s="68"/>
      <c r="FR21" s="68">
        <f t="shared" si="117"/>
        <v>0</v>
      </c>
      <c r="FS21" s="72"/>
      <c r="FT21" s="72"/>
      <c r="FU21" s="72">
        <v>2</v>
      </c>
      <c r="FV21" s="72"/>
      <c r="FW21" s="73">
        <f t="shared" si="118"/>
        <v>0</v>
      </c>
      <c r="FX21" s="72"/>
      <c r="FY21" s="72">
        <f t="shared" si="119"/>
        <v>0</v>
      </c>
      <c r="FZ21" s="72"/>
      <c r="GA21" s="72"/>
      <c r="GB21" s="72">
        <v>2</v>
      </c>
      <c r="GC21" s="72"/>
      <c r="GD21" s="73">
        <f t="shared" si="120"/>
        <v>0</v>
      </c>
      <c r="GE21" s="72"/>
      <c r="GF21" s="72">
        <f t="shared" si="121"/>
        <v>0</v>
      </c>
      <c r="GG21" s="68"/>
      <c r="GH21" s="68"/>
      <c r="GI21" s="68">
        <v>2</v>
      </c>
      <c r="GJ21" s="68"/>
      <c r="GK21" s="10">
        <f t="shared" si="122"/>
        <v>0</v>
      </c>
      <c r="GL21" s="68"/>
      <c r="GM21" s="68">
        <f t="shared" si="123"/>
        <v>0</v>
      </c>
      <c r="GN21" s="72"/>
      <c r="GO21" s="72"/>
      <c r="GP21" s="72">
        <v>2</v>
      </c>
      <c r="GQ21" s="72"/>
      <c r="GR21" s="73">
        <f t="shared" si="124"/>
        <v>0</v>
      </c>
      <c r="GS21" s="72"/>
      <c r="GT21" s="72">
        <f t="shared" si="125"/>
        <v>0</v>
      </c>
      <c r="GU21" s="68"/>
      <c r="GV21" s="68"/>
      <c r="GW21" s="68">
        <v>2</v>
      </c>
      <c r="GX21" s="68"/>
      <c r="GY21" s="10">
        <f t="shared" si="126"/>
        <v>0</v>
      </c>
      <c r="GZ21" s="68"/>
      <c r="HA21" s="68">
        <f t="shared" si="127"/>
        <v>0</v>
      </c>
      <c r="HB21" s="72"/>
      <c r="HC21" s="72"/>
      <c r="HD21" s="72">
        <v>2</v>
      </c>
      <c r="HE21" s="72"/>
      <c r="HF21" s="73">
        <f t="shared" si="128"/>
        <v>0</v>
      </c>
      <c r="HG21" s="72"/>
      <c r="HH21" s="72">
        <f t="shared" si="129"/>
        <v>0</v>
      </c>
      <c r="HI21" s="72"/>
      <c r="HJ21" s="72"/>
      <c r="HK21" s="72">
        <v>2</v>
      </c>
      <c r="HL21" s="72"/>
      <c r="HM21" s="73">
        <f t="shared" si="130"/>
        <v>0</v>
      </c>
      <c r="HN21" s="72"/>
      <c r="HO21" s="72">
        <f t="shared" si="131"/>
        <v>0</v>
      </c>
      <c r="HP21" s="68"/>
      <c r="HQ21" s="68"/>
      <c r="HR21" s="68">
        <v>2</v>
      </c>
      <c r="HS21" s="68"/>
      <c r="HT21" s="10">
        <f t="shared" si="132"/>
        <v>0</v>
      </c>
      <c r="HU21" s="68"/>
      <c r="HV21" s="68">
        <f t="shared" si="133"/>
        <v>0</v>
      </c>
      <c r="HW21" s="72"/>
      <c r="HX21" s="72"/>
      <c r="HY21" s="72">
        <v>2</v>
      </c>
      <c r="HZ21" s="72"/>
      <c r="IA21" s="73">
        <f t="shared" si="134"/>
        <v>0</v>
      </c>
      <c r="IB21" s="72"/>
      <c r="IC21" s="72">
        <f t="shared" si="135"/>
        <v>0</v>
      </c>
      <c r="ID21" s="68"/>
      <c r="IE21" s="68"/>
      <c r="IF21" s="68">
        <v>2</v>
      </c>
      <c r="IG21" s="68"/>
      <c r="IH21" s="10">
        <f t="shared" si="136"/>
        <v>0</v>
      </c>
      <c r="II21" s="68"/>
      <c r="IJ21" s="68">
        <f t="shared" si="137"/>
        <v>0</v>
      </c>
      <c r="IK21" s="72"/>
      <c r="IL21" s="72"/>
      <c r="IM21" s="72">
        <v>2</v>
      </c>
      <c r="IN21" s="72"/>
      <c r="IO21" s="73">
        <f t="shared" si="138"/>
        <v>0</v>
      </c>
      <c r="IP21" s="72"/>
      <c r="IQ21" s="72">
        <f t="shared" si="139"/>
        <v>0</v>
      </c>
    </row>
    <row r="22" spans="1:251" ht="22.5" customHeight="1">
      <c r="A22" s="115" t="s">
        <v>116</v>
      </c>
      <c r="B22" s="71"/>
      <c r="C22" s="72" t="s">
        <v>117</v>
      </c>
      <c r="D22" s="72" t="s">
        <v>118</v>
      </c>
      <c r="E22" s="72" t="s">
        <v>119</v>
      </c>
      <c r="F22" s="72" t="s">
        <v>58</v>
      </c>
      <c r="G22" s="68"/>
      <c r="H22" s="1"/>
      <c r="I22" s="1">
        <v>2</v>
      </c>
      <c r="J22" s="1"/>
      <c r="K22" s="10">
        <f t="shared" si="70"/>
        <v>0</v>
      </c>
      <c r="L22" s="1"/>
      <c r="M22" s="1">
        <f t="shared" si="71"/>
        <v>0</v>
      </c>
      <c r="N22" s="2"/>
      <c r="O22" s="2"/>
      <c r="P22" s="2">
        <v>2</v>
      </c>
      <c r="Q22" s="2"/>
      <c r="R22" s="3">
        <f t="shared" si="72"/>
        <v>0</v>
      </c>
      <c r="S22" s="2"/>
      <c r="T22" s="2">
        <f t="shared" si="73"/>
        <v>0</v>
      </c>
      <c r="U22" s="1"/>
      <c r="V22" s="1"/>
      <c r="W22" s="1">
        <v>2</v>
      </c>
      <c r="X22" s="1"/>
      <c r="Y22" s="10">
        <f t="shared" si="74"/>
        <v>0</v>
      </c>
      <c r="Z22" s="1"/>
      <c r="AA22" s="1">
        <f t="shared" si="75"/>
        <v>0</v>
      </c>
      <c r="AB22" s="2"/>
      <c r="AC22" s="2"/>
      <c r="AD22" s="2">
        <v>2</v>
      </c>
      <c r="AE22" s="2"/>
      <c r="AF22" s="3">
        <f t="shared" si="76"/>
        <v>0</v>
      </c>
      <c r="AG22" s="2"/>
      <c r="AH22" s="2">
        <f t="shared" si="77"/>
        <v>0</v>
      </c>
      <c r="AI22" s="1"/>
      <c r="AJ22" s="1"/>
      <c r="AK22" s="1">
        <v>2</v>
      </c>
      <c r="AL22" s="1"/>
      <c r="AM22" s="10">
        <f t="shared" si="78"/>
        <v>0</v>
      </c>
      <c r="AN22" s="1"/>
      <c r="AO22" s="1">
        <f t="shared" si="79"/>
        <v>0</v>
      </c>
      <c r="AP22" s="2"/>
      <c r="AQ22" s="2"/>
      <c r="AR22" s="2">
        <v>2</v>
      </c>
      <c r="AS22" s="2"/>
      <c r="AT22" s="3">
        <f t="shared" si="80"/>
        <v>0</v>
      </c>
      <c r="AU22" s="2"/>
      <c r="AV22" s="2">
        <f t="shared" si="81"/>
        <v>0</v>
      </c>
      <c r="AW22" s="1"/>
      <c r="AX22" s="1"/>
      <c r="AY22" s="1">
        <v>2</v>
      </c>
      <c r="AZ22" s="1"/>
      <c r="BA22" s="10">
        <f t="shared" si="82"/>
        <v>0</v>
      </c>
      <c r="BB22" s="1"/>
      <c r="BC22" s="1">
        <f t="shared" si="83"/>
        <v>0</v>
      </c>
      <c r="BD22" s="2"/>
      <c r="BE22" s="2"/>
      <c r="BF22" s="2">
        <v>2</v>
      </c>
      <c r="BG22" s="2"/>
      <c r="BH22" s="3">
        <f t="shared" si="84"/>
        <v>0</v>
      </c>
      <c r="BI22" s="2"/>
      <c r="BJ22" s="2">
        <f t="shared" si="85"/>
        <v>0</v>
      </c>
      <c r="BK22" s="1"/>
      <c r="BL22" s="1"/>
      <c r="BM22" s="1">
        <v>2</v>
      </c>
      <c r="BN22" s="1"/>
      <c r="BO22" s="10">
        <f t="shared" si="86"/>
        <v>0</v>
      </c>
      <c r="BP22" s="1"/>
      <c r="BQ22" s="1">
        <f t="shared" si="87"/>
        <v>0</v>
      </c>
      <c r="BR22" s="2"/>
      <c r="BS22" s="2"/>
      <c r="BT22" s="2">
        <v>2</v>
      </c>
      <c r="BU22" s="2"/>
      <c r="BV22" s="3">
        <f t="shared" si="88"/>
        <v>0</v>
      </c>
      <c r="BW22" s="2"/>
      <c r="BX22" s="2">
        <f t="shared" si="89"/>
        <v>0</v>
      </c>
      <c r="BY22" s="1"/>
      <c r="BZ22" s="1"/>
      <c r="CA22" s="1">
        <v>2</v>
      </c>
      <c r="CB22" s="1"/>
      <c r="CC22" s="10">
        <f t="shared" si="90"/>
        <v>0</v>
      </c>
      <c r="CD22" s="1"/>
      <c r="CE22" s="1">
        <f t="shared" si="91"/>
        <v>0</v>
      </c>
      <c r="CF22" s="2"/>
      <c r="CG22" s="2"/>
      <c r="CH22" s="2">
        <v>2</v>
      </c>
      <c r="CI22" s="2"/>
      <c r="CJ22" s="3">
        <f t="shared" si="92"/>
        <v>0</v>
      </c>
      <c r="CK22" s="2"/>
      <c r="CL22" s="2">
        <f t="shared" si="93"/>
        <v>0</v>
      </c>
      <c r="CM22" s="1"/>
      <c r="CN22" s="1"/>
      <c r="CO22" s="1">
        <v>2</v>
      </c>
      <c r="CP22" s="1"/>
      <c r="CQ22" s="10">
        <f t="shared" si="94"/>
        <v>0</v>
      </c>
      <c r="CR22" s="1"/>
      <c r="CS22" s="1">
        <f t="shared" si="95"/>
        <v>0</v>
      </c>
      <c r="CT22" s="2"/>
      <c r="CU22" s="2"/>
      <c r="CV22" s="2">
        <v>2</v>
      </c>
      <c r="CW22" s="2"/>
      <c r="CX22" s="3">
        <f t="shared" si="96"/>
        <v>0</v>
      </c>
      <c r="CY22" s="2"/>
      <c r="CZ22" s="2">
        <f t="shared" si="97"/>
        <v>0</v>
      </c>
      <c r="DA22" s="1"/>
      <c r="DB22" s="1"/>
      <c r="DC22" s="1">
        <v>2</v>
      </c>
      <c r="DD22" s="1"/>
      <c r="DE22" s="10">
        <f t="shared" si="98"/>
        <v>0</v>
      </c>
      <c r="DF22" s="1"/>
      <c r="DG22" s="1">
        <f t="shared" si="99"/>
        <v>0</v>
      </c>
      <c r="DH22" s="2"/>
      <c r="DI22" s="2"/>
      <c r="DJ22" s="2">
        <v>2</v>
      </c>
      <c r="DK22" s="2"/>
      <c r="DL22" s="3">
        <f t="shared" si="100"/>
        <v>0</v>
      </c>
      <c r="DM22" s="2"/>
      <c r="DN22" s="2">
        <f t="shared" si="101"/>
        <v>0</v>
      </c>
      <c r="DO22" s="1"/>
      <c r="DP22" s="1"/>
      <c r="DQ22" s="1">
        <v>2</v>
      </c>
      <c r="DR22" s="1"/>
      <c r="DS22" s="10">
        <f t="shared" si="102"/>
        <v>0</v>
      </c>
      <c r="DT22" s="1"/>
      <c r="DU22" s="1">
        <f t="shared" si="103"/>
        <v>0</v>
      </c>
      <c r="DV22" s="2"/>
      <c r="DW22" s="2"/>
      <c r="DX22" s="2">
        <v>2</v>
      </c>
      <c r="DY22" s="2"/>
      <c r="DZ22" s="3">
        <f t="shared" si="104"/>
        <v>0</v>
      </c>
      <c r="EA22" s="2"/>
      <c r="EB22" s="2">
        <f t="shared" si="105"/>
        <v>0</v>
      </c>
      <c r="EC22" s="1"/>
      <c r="ED22" s="1"/>
      <c r="EE22" s="1">
        <v>2</v>
      </c>
      <c r="EF22" s="1"/>
      <c r="EG22" s="10">
        <f t="shared" si="106"/>
        <v>0</v>
      </c>
      <c r="EH22" s="1"/>
      <c r="EI22" s="1">
        <f t="shared" si="107"/>
        <v>0</v>
      </c>
      <c r="EJ22" s="2"/>
      <c r="EK22" s="2"/>
      <c r="EL22" s="2">
        <v>2</v>
      </c>
      <c r="EM22" s="2"/>
      <c r="EN22" s="3">
        <f t="shared" si="108"/>
        <v>0</v>
      </c>
      <c r="EO22" s="2"/>
      <c r="EP22" s="2">
        <f t="shared" si="109"/>
        <v>0</v>
      </c>
      <c r="EQ22" s="72"/>
      <c r="ER22" s="72"/>
      <c r="ES22" s="72">
        <v>2</v>
      </c>
      <c r="ET22" s="72"/>
      <c r="EU22" s="73">
        <f t="shared" si="110"/>
        <v>0</v>
      </c>
      <c r="EV22" s="72"/>
      <c r="EW22" s="72">
        <f t="shared" si="111"/>
        <v>0</v>
      </c>
      <c r="EX22" s="68"/>
      <c r="EY22" s="68"/>
      <c r="EZ22" s="68">
        <v>2</v>
      </c>
      <c r="FA22" s="68"/>
      <c r="FB22" s="10">
        <f t="shared" si="112"/>
        <v>0</v>
      </c>
      <c r="FC22" s="68"/>
      <c r="FD22" s="68">
        <f t="shared" si="113"/>
        <v>0</v>
      </c>
      <c r="FE22" s="72"/>
      <c r="FF22" s="72"/>
      <c r="FG22" s="72">
        <v>2</v>
      </c>
      <c r="FH22" s="72"/>
      <c r="FI22" s="73">
        <f t="shared" si="114"/>
        <v>0</v>
      </c>
      <c r="FJ22" s="72"/>
      <c r="FK22" s="72">
        <f t="shared" si="115"/>
        <v>0</v>
      </c>
      <c r="FL22" s="68"/>
      <c r="FM22" s="68"/>
      <c r="FN22" s="68">
        <v>2</v>
      </c>
      <c r="FO22" s="68"/>
      <c r="FP22" s="10">
        <f t="shared" si="116"/>
        <v>0</v>
      </c>
      <c r="FQ22" s="68"/>
      <c r="FR22" s="68">
        <f t="shared" si="117"/>
        <v>0</v>
      </c>
      <c r="FS22" s="72"/>
      <c r="FT22" s="72"/>
      <c r="FU22" s="72">
        <v>2</v>
      </c>
      <c r="FV22" s="72"/>
      <c r="FW22" s="73">
        <f t="shared" si="118"/>
        <v>0</v>
      </c>
      <c r="FX22" s="72"/>
      <c r="FY22" s="72">
        <f t="shared" si="119"/>
        <v>0</v>
      </c>
      <c r="FZ22" s="72"/>
      <c r="GA22" s="72"/>
      <c r="GB22" s="72">
        <v>2</v>
      </c>
      <c r="GC22" s="72"/>
      <c r="GD22" s="73">
        <f t="shared" si="120"/>
        <v>0</v>
      </c>
      <c r="GE22" s="72"/>
      <c r="GF22" s="72">
        <f t="shared" si="121"/>
        <v>0</v>
      </c>
      <c r="GG22" s="68"/>
      <c r="GH22" s="68"/>
      <c r="GI22" s="68">
        <v>2</v>
      </c>
      <c r="GJ22" s="68"/>
      <c r="GK22" s="10">
        <f t="shared" si="122"/>
        <v>0</v>
      </c>
      <c r="GL22" s="68"/>
      <c r="GM22" s="68">
        <f t="shared" si="123"/>
        <v>0</v>
      </c>
      <c r="GN22" s="72"/>
      <c r="GO22" s="72"/>
      <c r="GP22" s="72">
        <v>2</v>
      </c>
      <c r="GQ22" s="72"/>
      <c r="GR22" s="73">
        <f t="shared" si="124"/>
        <v>0</v>
      </c>
      <c r="GS22" s="72"/>
      <c r="GT22" s="72">
        <f t="shared" si="125"/>
        <v>0</v>
      </c>
      <c r="GU22" s="68"/>
      <c r="GV22" s="68"/>
      <c r="GW22" s="68">
        <v>2</v>
      </c>
      <c r="GX22" s="68"/>
      <c r="GY22" s="10">
        <f t="shared" si="126"/>
        <v>0</v>
      </c>
      <c r="GZ22" s="68"/>
      <c r="HA22" s="68">
        <f t="shared" si="127"/>
        <v>0</v>
      </c>
      <c r="HB22" s="72"/>
      <c r="HC22" s="72"/>
      <c r="HD22" s="72">
        <v>2</v>
      </c>
      <c r="HE22" s="72"/>
      <c r="HF22" s="73">
        <f t="shared" si="128"/>
        <v>0</v>
      </c>
      <c r="HG22" s="72"/>
      <c r="HH22" s="72">
        <f t="shared" si="129"/>
        <v>0</v>
      </c>
      <c r="HI22" s="72"/>
      <c r="HJ22" s="72"/>
      <c r="HK22" s="72">
        <v>2</v>
      </c>
      <c r="HL22" s="72"/>
      <c r="HM22" s="73">
        <f t="shared" si="130"/>
        <v>0</v>
      </c>
      <c r="HN22" s="72"/>
      <c r="HO22" s="72">
        <f t="shared" si="131"/>
        <v>0</v>
      </c>
      <c r="HP22" s="68"/>
      <c r="HQ22" s="68"/>
      <c r="HR22" s="68">
        <v>2</v>
      </c>
      <c r="HS22" s="68"/>
      <c r="HT22" s="10">
        <f t="shared" si="132"/>
        <v>0</v>
      </c>
      <c r="HU22" s="68"/>
      <c r="HV22" s="68">
        <f t="shared" si="133"/>
        <v>0</v>
      </c>
      <c r="HW22" s="72"/>
      <c r="HX22" s="72"/>
      <c r="HY22" s="72">
        <v>2</v>
      </c>
      <c r="HZ22" s="72"/>
      <c r="IA22" s="73">
        <f t="shared" si="134"/>
        <v>0</v>
      </c>
      <c r="IB22" s="72"/>
      <c r="IC22" s="72">
        <f t="shared" si="135"/>
        <v>0</v>
      </c>
      <c r="ID22" s="68"/>
      <c r="IE22" s="68"/>
      <c r="IF22" s="68">
        <v>2</v>
      </c>
      <c r="IG22" s="68"/>
      <c r="IH22" s="10">
        <f t="shared" si="136"/>
        <v>0</v>
      </c>
      <c r="II22" s="68"/>
      <c r="IJ22" s="68">
        <f t="shared" si="137"/>
        <v>0</v>
      </c>
      <c r="IK22" s="72"/>
      <c r="IL22" s="72"/>
      <c r="IM22" s="72">
        <v>2</v>
      </c>
      <c r="IN22" s="72"/>
      <c r="IO22" s="73">
        <f t="shared" si="138"/>
        <v>0</v>
      </c>
      <c r="IP22" s="72"/>
      <c r="IQ22" s="72">
        <f t="shared" si="139"/>
        <v>0</v>
      </c>
    </row>
    <row r="23" spans="1:251" ht="47.25" customHeight="1">
      <c r="A23" s="115" t="s">
        <v>120</v>
      </c>
      <c r="B23" s="71"/>
      <c r="C23" s="72" t="s">
        <v>121</v>
      </c>
      <c r="D23" s="72" t="s">
        <v>122</v>
      </c>
      <c r="E23" s="72" t="s">
        <v>123</v>
      </c>
      <c r="F23" s="72" t="s">
        <v>48</v>
      </c>
      <c r="G23" s="68"/>
      <c r="H23" s="1"/>
      <c r="I23" s="1">
        <v>2</v>
      </c>
      <c r="J23" s="1"/>
      <c r="K23" s="10">
        <f t="shared" si="70"/>
        <v>0</v>
      </c>
      <c r="L23" s="1"/>
      <c r="M23" s="1">
        <f t="shared" si="71"/>
        <v>0</v>
      </c>
      <c r="N23" s="2"/>
      <c r="O23" s="2"/>
      <c r="P23" s="2">
        <v>2</v>
      </c>
      <c r="Q23" s="2"/>
      <c r="R23" s="3">
        <f t="shared" si="72"/>
        <v>0</v>
      </c>
      <c r="S23" s="2"/>
      <c r="T23" s="2">
        <f t="shared" si="73"/>
        <v>0</v>
      </c>
      <c r="U23" s="1"/>
      <c r="V23" s="1"/>
      <c r="W23" s="1">
        <v>2</v>
      </c>
      <c r="X23" s="1"/>
      <c r="Y23" s="10">
        <f t="shared" si="74"/>
        <v>0</v>
      </c>
      <c r="Z23" s="1"/>
      <c r="AA23" s="1">
        <f t="shared" si="75"/>
        <v>0</v>
      </c>
      <c r="AB23" s="2"/>
      <c r="AC23" s="2"/>
      <c r="AD23" s="2">
        <v>2</v>
      </c>
      <c r="AE23" s="2"/>
      <c r="AF23" s="3">
        <f t="shared" si="76"/>
        <v>0</v>
      </c>
      <c r="AG23" s="2"/>
      <c r="AH23" s="2">
        <f t="shared" si="77"/>
        <v>0</v>
      </c>
      <c r="AI23" s="1"/>
      <c r="AJ23" s="1"/>
      <c r="AK23" s="1">
        <v>2</v>
      </c>
      <c r="AL23" s="1"/>
      <c r="AM23" s="10">
        <f t="shared" si="78"/>
        <v>0</v>
      </c>
      <c r="AN23" s="1"/>
      <c r="AO23" s="1">
        <f t="shared" si="79"/>
        <v>0</v>
      </c>
      <c r="AP23" s="2"/>
      <c r="AQ23" s="2"/>
      <c r="AR23" s="2">
        <v>2</v>
      </c>
      <c r="AS23" s="2"/>
      <c r="AT23" s="3">
        <f t="shared" si="80"/>
        <v>0</v>
      </c>
      <c r="AU23" s="2"/>
      <c r="AV23" s="2">
        <f t="shared" si="81"/>
        <v>0</v>
      </c>
      <c r="AW23" s="1"/>
      <c r="AX23" s="1"/>
      <c r="AY23" s="1">
        <v>2</v>
      </c>
      <c r="AZ23" s="1"/>
      <c r="BA23" s="10">
        <f t="shared" si="82"/>
        <v>0</v>
      </c>
      <c r="BB23" s="1"/>
      <c r="BC23" s="1">
        <f t="shared" si="83"/>
        <v>0</v>
      </c>
      <c r="BD23" s="2"/>
      <c r="BE23" s="2"/>
      <c r="BF23" s="2">
        <v>2</v>
      </c>
      <c r="BG23" s="2"/>
      <c r="BH23" s="3">
        <f t="shared" si="84"/>
        <v>0</v>
      </c>
      <c r="BI23" s="2"/>
      <c r="BJ23" s="2">
        <f t="shared" si="85"/>
        <v>0</v>
      </c>
      <c r="BK23" s="1"/>
      <c r="BL23" s="1"/>
      <c r="BM23" s="1">
        <v>2</v>
      </c>
      <c r="BN23" s="1"/>
      <c r="BO23" s="10">
        <f t="shared" si="86"/>
        <v>0</v>
      </c>
      <c r="BP23" s="1"/>
      <c r="BQ23" s="1">
        <f t="shared" si="87"/>
        <v>0</v>
      </c>
      <c r="BR23" s="2"/>
      <c r="BS23" s="2"/>
      <c r="BT23" s="2">
        <v>2</v>
      </c>
      <c r="BU23" s="2"/>
      <c r="BV23" s="3">
        <f t="shared" si="88"/>
        <v>0</v>
      </c>
      <c r="BW23" s="2"/>
      <c r="BX23" s="2">
        <f t="shared" si="89"/>
        <v>0</v>
      </c>
      <c r="BY23" s="1"/>
      <c r="BZ23" s="1"/>
      <c r="CA23" s="1">
        <v>2</v>
      </c>
      <c r="CB23" s="1"/>
      <c r="CC23" s="10">
        <f t="shared" si="90"/>
        <v>0</v>
      </c>
      <c r="CD23" s="1"/>
      <c r="CE23" s="1">
        <f t="shared" si="91"/>
        <v>0</v>
      </c>
      <c r="CF23" s="2"/>
      <c r="CG23" s="2"/>
      <c r="CH23" s="2">
        <v>2</v>
      </c>
      <c r="CI23" s="2"/>
      <c r="CJ23" s="3">
        <f t="shared" si="92"/>
        <v>0</v>
      </c>
      <c r="CK23" s="2"/>
      <c r="CL23" s="2">
        <f t="shared" si="93"/>
        <v>0</v>
      </c>
      <c r="CM23" s="1"/>
      <c r="CN23" s="1"/>
      <c r="CO23" s="1">
        <v>2</v>
      </c>
      <c r="CP23" s="1"/>
      <c r="CQ23" s="10">
        <f t="shared" si="94"/>
        <v>0</v>
      </c>
      <c r="CR23" s="1"/>
      <c r="CS23" s="1">
        <f t="shared" si="95"/>
        <v>0</v>
      </c>
      <c r="CT23" s="2"/>
      <c r="CU23" s="2"/>
      <c r="CV23" s="2">
        <v>2</v>
      </c>
      <c r="CW23" s="2"/>
      <c r="CX23" s="3">
        <f t="shared" si="96"/>
        <v>0</v>
      </c>
      <c r="CY23" s="2"/>
      <c r="CZ23" s="2">
        <f t="shared" si="97"/>
        <v>0</v>
      </c>
      <c r="DA23" s="1"/>
      <c r="DB23" s="1"/>
      <c r="DC23" s="1">
        <v>2</v>
      </c>
      <c r="DD23" s="1"/>
      <c r="DE23" s="10">
        <f t="shared" si="98"/>
        <v>0</v>
      </c>
      <c r="DF23" s="1"/>
      <c r="DG23" s="1">
        <f t="shared" si="99"/>
        <v>0</v>
      </c>
      <c r="DH23" s="2"/>
      <c r="DI23" s="2"/>
      <c r="DJ23" s="2">
        <v>2</v>
      </c>
      <c r="DK23" s="2"/>
      <c r="DL23" s="3">
        <f t="shared" si="100"/>
        <v>0</v>
      </c>
      <c r="DM23" s="2"/>
      <c r="DN23" s="2">
        <f t="shared" si="101"/>
        <v>0</v>
      </c>
      <c r="DO23" s="1"/>
      <c r="DP23" s="1"/>
      <c r="DQ23" s="1">
        <v>2</v>
      </c>
      <c r="DR23" s="1"/>
      <c r="DS23" s="10">
        <f t="shared" si="102"/>
        <v>0</v>
      </c>
      <c r="DT23" s="1"/>
      <c r="DU23" s="1">
        <f t="shared" si="103"/>
        <v>0</v>
      </c>
      <c r="DV23" s="2"/>
      <c r="DW23" s="2"/>
      <c r="DX23" s="2">
        <v>2</v>
      </c>
      <c r="DY23" s="2"/>
      <c r="DZ23" s="3">
        <f t="shared" si="104"/>
        <v>0</v>
      </c>
      <c r="EA23" s="2"/>
      <c r="EB23" s="2">
        <f t="shared" si="105"/>
        <v>0</v>
      </c>
      <c r="EC23" s="1"/>
      <c r="ED23" s="1"/>
      <c r="EE23" s="1">
        <v>2</v>
      </c>
      <c r="EF23" s="1"/>
      <c r="EG23" s="10">
        <f t="shared" si="106"/>
        <v>0</v>
      </c>
      <c r="EH23" s="1"/>
      <c r="EI23" s="1">
        <f t="shared" si="107"/>
        <v>0</v>
      </c>
      <c r="EJ23" s="2"/>
      <c r="EK23" s="2"/>
      <c r="EL23" s="2">
        <v>2</v>
      </c>
      <c r="EM23" s="2"/>
      <c r="EN23" s="3">
        <f t="shared" si="108"/>
        <v>0</v>
      </c>
      <c r="EO23" s="2"/>
      <c r="EP23" s="2">
        <f t="shared" si="109"/>
        <v>0</v>
      </c>
      <c r="EQ23" s="72"/>
      <c r="ER23" s="72"/>
      <c r="ES23" s="72">
        <v>2</v>
      </c>
      <c r="ET23" s="72"/>
      <c r="EU23" s="73">
        <f t="shared" si="110"/>
        <v>0</v>
      </c>
      <c r="EV23" s="72"/>
      <c r="EW23" s="72">
        <f t="shared" si="111"/>
        <v>0</v>
      </c>
      <c r="EX23" s="68"/>
      <c r="EY23" s="68"/>
      <c r="EZ23" s="68">
        <v>2</v>
      </c>
      <c r="FA23" s="68"/>
      <c r="FB23" s="10">
        <f t="shared" si="112"/>
        <v>0</v>
      </c>
      <c r="FC23" s="68"/>
      <c r="FD23" s="68">
        <f t="shared" si="113"/>
        <v>0</v>
      </c>
      <c r="FE23" s="72"/>
      <c r="FF23" s="72"/>
      <c r="FG23" s="72">
        <v>2</v>
      </c>
      <c r="FH23" s="72"/>
      <c r="FI23" s="73">
        <f t="shared" si="114"/>
        <v>0</v>
      </c>
      <c r="FJ23" s="72"/>
      <c r="FK23" s="72">
        <f t="shared" si="115"/>
        <v>0</v>
      </c>
      <c r="FL23" s="68"/>
      <c r="FM23" s="68"/>
      <c r="FN23" s="68">
        <v>2</v>
      </c>
      <c r="FO23" s="68"/>
      <c r="FP23" s="10">
        <f t="shared" si="116"/>
        <v>0</v>
      </c>
      <c r="FQ23" s="68"/>
      <c r="FR23" s="68">
        <f t="shared" si="117"/>
        <v>0</v>
      </c>
      <c r="FS23" s="72"/>
      <c r="FT23" s="72"/>
      <c r="FU23" s="72">
        <v>2</v>
      </c>
      <c r="FV23" s="72"/>
      <c r="FW23" s="73">
        <f t="shared" si="118"/>
        <v>0</v>
      </c>
      <c r="FX23" s="72"/>
      <c r="FY23" s="72">
        <f t="shared" si="119"/>
        <v>0</v>
      </c>
      <c r="FZ23" s="72"/>
      <c r="GA23" s="72"/>
      <c r="GB23" s="72">
        <v>2</v>
      </c>
      <c r="GC23" s="72"/>
      <c r="GD23" s="73">
        <f t="shared" si="120"/>
        <v>0</v>
      </c>
      <c r="GE23" s="72"/>
      <c r="GF23" s="72">
        <f t="shared" si="121"/>
        <v>0</v>
      </c>
      <c r="GG23" s="68"/>
      <c r="GH23" s="68"/>
      <c r="GI23" s="68">
        <v>2</v>
      </c>
      <c r="GJ23" s="68"/>
      <c r="GK23" s="10">
        <f t="shared" si="122"/>
        <v>0</v>
      </c>
      <c r="GL23" s="68"/>
      <c r="GM23" s="68">
        <f t="shared" si="123"/>
        <v>0</v>
      </c>
      <c r="GN23" s="72"/>
      <c r="GO23" s="72"/>
      <c r="GP23" s="72">
        <v>2</v>
      </c>
      <c r="GQ23" s="72"/>
      <c r="GR23" s="73">
        <f t="shared" si="124"/>
        <v>0</v>
      </c>
      <c r="GS23" s="72"/>
      <c r="GT23" s="72">
        <f t="shared" si="125"/>
        <v>0</v>
      </c>
      <c r="GU23" s="68"/>
      <c r="GV23" s="68"/>
      <c r="GW23" s="68">
        <v>2</v>
      </c>
      <c r="GX23" s="68"/>
      <c r="GY23" s="10">
        <f t="shared" si="126"/>
        <v>0</v>
      </c>
      <c r="GZ23" s="68"/>
      <c r="HA23" s="68">
        <f t="shared" si="127"/>
        <v>0</v>
      </c>
      <c r="HB23" s="72"/>
      <c r="HC23" s="72"/>
      <c r="HD23" s="72">
        <v>2</v>
      </c>
      <c r="HE23" s="72"/>
      <c r="HF23" s="73">
        <f t="shared" si="128"/>
        <v>0</v>
      </c>
      <c r="HG23" s="72"/>
      <c r="HH23" s="72">
        <f t="shared" si="129"/>
        <v>0</v>
      </c>
      <c r="HI23" s="72"/>
      <c r="HJ23" s="72"/>
      <c r="HK23" s="72">
        <v>2</v>
      </c>
      <c r="HL23" s="72"/>
      <c r="HM23" s="73">
        <f t="shared" si="130"/>
        <v>0</v>
      </c>
      <c r="HN23" s="72"/>
      <c r="HO23" s="72">
        <f t="shared" si="131"/>
        <v>0</v>
      </c>
      <c r="HP23" s="68"/>
      <c r="HQ23" s="68"/>
      <c r="HR23" s="68">
        <v>2</v>
      </c>
      <c r="HS23" s="68"/>
      <c r="HT23" s="10">
        <f t="shared" si="132"/>
        <v>0</v>
      </c>
      <c r="HU23" s="68"/>
      <c r="HV23" s="68">
        <f t="shared" si="133"/>
        <v>0</v>
      </c>
      <c r="HW23" s="72"/>
      <c r="HX23" s="72"/>
      <c r="HY23" s="72">
        <v>2</v>
      </c>
      <c r="HZ23" s="72"/>
      <c r="IA23" s="73">
        <f t="shared" si="134"/>
        <v>0</v>
      </c>
      <c r="IB23" s="72"/>
      <c r="IC23" s="72">
        <f t="shared" si="135"/>
        <v>0</v>
      </c>
      <c r="ID23" s="68"/>
      <c r="IE23" s="68"/>
      <c r="IF23" s="68">
        <v>2</v>
      </c>
      <c r="IG23" s="68"/>
      <c r="IH23" s="10">
        <f t="shared" si="136"/>
        <v>0</v>
      </c>
      <c r="II23" s="68"/>
      <c r="IJ23" s="68">
        <f t="shared" si="137"/>
        <v>0</v>
      </c>
      <c r="IK23" s="72"/>
      <c r="IL23" s="72"/>
      <c r="IM23" s="72">
        <v>2</v>
      </c>
      <c r="IN23" s="72"/>
      <c r="IO23" s="73">
        <f t="shared" si="138"/>
        <v>0</v>
      </c>
      <c r="IP23" s="72"/>
      <c r="IQ23" s="72">
        <f t="shared" si="139"/>
        <v>0</v>
      </c>
    </row>
    <row r="24" spans="1:251" ht="33" customHeight="1">
      <c r="A24" s="115" t="s">
        <v>124</v>
      </c>
      <c r="B24" s="71"/>
      <c r="C24" s="72" t="s">
        <v>125</v>
      </c>
      <c r="D24" s="72" t="s">
        <v>126</v>
      </c>
      <c r="E24" s="72" t="s">
        <v>127</v>
      </c>
      <c r="F24" s="72" t="s">
        <v>49</v>
      </c>
      <c r="G24" s="68"/>
      <c r="H24" s="1"/>
      <c r="I24" s="1">
        <v>2</v>
      </c>
      <c r="J24" s="1"/>
      <c r="K24" s="10">
        <f t="shared" si="70"/>
        <v>0</v>
      </c>
      <c r="L24" s="1"/>
      <c r="M24" s="1">
        <f t="shared" si="71"/>
        <v>0</v>
      </c>
      <c r="N24" s="2"/>
      <c r="O24" s="2"/>
      <c r="P24" s="2">
        <v>2</v>
      </c>
      <c r="Q24" s="2"/>
      <c r="R24" s="3">
        <f t="shared" si="72"/>
        <v>0</v>
      </c>
      <c r="S24" s="2"/>
      <c r="T24" s="2">
        <f t="shared" si="73"/>
        <v>0</v>
      </c>
      <c r="U24" s="1"/>
      <c r="V24" s="1"/>
      <c r="W24" s="1">
        <v>2</v>
      </c>
      <c r="X24" s="1"/>
      <c r="Y24" s="10">
        <f t="shared" si="74"/>
        <v>0</v>
      </c>
      <c r="Z24" s="1"/>
      <c r="AA24" s="1">
        <f t="shared" si="75"/>
        <v>0</v>
      </c>
      <c r="AB24" s="2"/>
      <c r="AC24" s="2"/>
      <c r="AD24" s="2">
        <v>2</v>
      </c>
      <c r="AE24" s="2"/>
      <c r="AF24" s="3">
        <f t="shared" si="76"/>
        <v>0</v>
      </c>
      <c r="AG24" s="2"/>
      <c r="AH24" s="2">
        <f t="shared" si="77"/>
        <v>0</v>
      </c>
      <c r="AI24" s="1"/>
      <c r="AJ24" s="1"/>
      <c r="AK24" s="1">
        <v>2</v>
      </c>
      <c r="AL24" s="1"/>
      <c r="AM24" s="10">
        <f t="shared" si="78"/>
        <v>0</v>
      </c>
      <c r="AN24" s="1"/>
      <c r="AO24" s="1">
        <f t="shared" si="79"/>
        <v>0</v>
      </c>
      <c r="AP24" s="2"/>
      <c r="AQ24" s="2"/>
      <c r="AR24" s="2">
        <v>2</v>
      </c>
      <c r="AS24" s="2"/>
      <c r="AT24" s="3">
        <f t="shared" si="80"/>
        <v>0</v>
      </c>
      <c r="AU24" s="2"/>
      <c r="AV24" s="2">
        <f t="shared" si="81"/>
        <v>0</v>
      </c>
      <c r="AW24" s="1"/>
      <c r="AX24" s="1"/>
      <c r="AY24" s="1">
        <v>2</v>
      </c>
      <c r="AZ24" s="1"/>
      <c r="BA24" s="10">
        <f t="shared" si="82"/>
        <v>0</v>
      </c>
      <c r="BB24" s="1"/>
      <c r="BC24" s="1">
        <f t="shared" si="83"/>
        <v>0</v>
      </c>
      <c r="BD24" s="2"/>
      <c r="BE24" s="2"/>
      <c r="BF24" s="2">
        <v>2</v>
      </c>
      <c r="BG24" s="2"/>
      <c r="BH24" s="3">
        <f t="shared" si="84"/>
        <v>0</v>
      </c>
      <c r="BI24" s="2"/>
      <c r="BJ24" s="2">
        <f t="shared" si="85"/>
        <v>0</v>
      </c>
      <c r="BK24" s="1"/>
      <c r="BL24" s="1"/>
      <c r="BM24" s="1">
        <v>2</v>
      </c>
      <c r="BN24" s="1"/>
      <c r="BO24" s="10">
        <f t="shared" si="86"/>
        <v>0</v>
      </c>
      <c r="BP24" s="1"/>
      <c r="BQ24" s="1">
        <f t="shared" si="87"/>
        <v>0</v>
      </c>
      <c r="BR24" s="2"/>
      <c r="BS24" s="2"/>
      <c r="BT24" s="2">
        <v>2</v>
      </c>
      <c r="BU24" s="2"/>
      <c r="BV24" s="3">
        <f t="shared" si="88"/>
        <v>0</v>
      </c>
      <c r="BW24" s="2"/>
      <c r="BX24" s="2">
        <f t="shared" si="89"/>
        <v>0</v>
      </c>
      <c r="BY24" s="1"/>
      <c r="BZ24" s="1"/>
      <c r="CA24" s="1">
        <v>2</v>
      </c>
      <c r="CB24" s="1"/>
      <c r="CC24" s="10">
        <f t="shared" si="90"/>
        <v>0</v>
      </c>
      <c r="CD24" s="1"/>
      <c r="CE24" s="1">
        <f t="shared" si="91"/>
        <v>0</v>
      </c>
      <c r="CF24" s="2"/>
      <c r="CG24" s="2"/>
      <c r="CH24" s="2">
        <v>2</v>
      </c>
      <c r="CI24" s="2"/>
      <c r="CJ24" s="3">
        <f t="shared" si="92"/>
        <v>0</v>
      </c>
      <c r="CK24" s="2"/>
      <c r="CL24" s="2">
        <f t="shared" si="93"/>
        <v>0</v>
      </c>
      <c r="CM24" s="1"/>
      <c r="CN24" s="1"/>
      <c r="CO24" s="1">
        <v>2</v>
      </c>
      <c r="CP24" s="1"/>
      <c r="CQ24" s="10">
        <f t="shared" si="94"/>
        <v>0</v>
      </c>
      <c r="CR24" s="1"/>
      <c r="CS24" s="1">
        <f t="shared" si="95"/>
        <v>0</v>
      </c>
      <c r="CT24" s="2"/>
      <c r="CU24" s="2"/>
      <c r="CV24" s="2">
        <v>2</v>
      </c>
      <c r="CW24" s="2"/>
      <c r="CX24" s="3">
        <f t="shared" si="96"/>
        <v>0</v>
      </c>
      <c r="CY24" s="2"/>
      <c r="CZ24" s="2">
        <f t="shared" si="97"/>
        <v>0</v>
      </c>
      <c r="DA24" s="1"/>
      <c r="DB24" s="1"/>
      <c r="DC24" s="1">
        <v>2</v>
      </c>
      <c r="DD24" s="1"/>
      <c r="DE24" s="10">
        <f t="shared" si="98"/>
        <v>0</v>
      </c>
      <c r="DF24" s="1"/>
      <c r="DG24" s="1">
        <f t="shared" si="99"/>
        <v>0</v>
      </c>
      <c r="DH24" s="2"/>
      <c r="DI24" s="2"/>
      <c r="DJ24" s="2">
        <v>2</v>
      </c>
      <c r="DK24" s="2"/>
      <c r="DL24" s="3">
        <f t="shared" si="100"/>
        <v>0</v>
      </c>
      <c r="DM24" s="2"/>
      <c r="DN24" s="2">
        <f t="shared" si="101"/>
        <v>0</v>
      </c>
      <c r="DO24" s="1"/>
      <c r="DP24" s="1"/>
      <c r="DQ24" s="1">
        <v>2</v>
      </c>
      <c r="DR24" s="1"/>
      <c r="DS24" s="10">
        <f t="shared" si="102"/>
        <v>0</v>
      </c>
      <c r="DT24" s="1"/>
      <c r="DU24" s="1">
        <f t="shared" si="103"/>
        <v>0</v>
      </c>
      <c r="DV24" s="2"/>
      <c r="DW24" s="2"/>
      <c r="DX24" s="2">
        <v>2</v>
      </c>
      <c r="DY24" s="2"/>
      <c r="DZ24" s="3">
        <f t="shared" si="104"/>
        <v>0</v>
      </c>
      <c r="EA24" s="2"/>
      <c r="EB24" s="2">
        <f t="shared" si="105"/>
        <v>0</v>
      </c>
      <c r="EC24" s="1"/>
      <c r="ED24" s="1"/>
      <c r="EE24" s="1">
        <v>2</v>
      </c>
      <c r="EF24" s="1"/>
      <c r="EG24" s="10">
        <f t="shared" si="106"/>
        <v>0</v>
      </c>
      <c r="EH24" s="1"/>
      <c r="EI24" s="1">
        <f t="shared" si="107"/>
        <v>0</v>
      </c>
      <c r="EJ24" s="2"/>
      <c r="EK24" s="2"/>
      <c r="EL24" s="2">
        <v>2</v>
      </c>
      <c r="EM24" s="2"/>
      <c r="EN24" s="3">
        <f t="shared" si="108"/>
        <v>0</v>
      </c>
      <c r="EO24" s="2"/>
      <c r="EP24" s="2">
        <f t="shared" si="109"/>
        <v>0</v>
      </c>
      <c r="EQ24" s="72"/>
      <c r="ER24" s="72"/>
      <c r="ES24" s="72">
        <v>2</v>
      </c>
      <c r="ET24" s="72"/>
      <c r="EU24" s="73">
        <f t="shared" si="110"/>
        <v>0</v>
      </c>
      <c r="EV24" s="72"/>
      <c r="EW24" s="72">
        <f t="shared" si="111"/>
        <v>0</v>
      </c>
      <c r="EX24" s="68"/>
      <c r="EY24" s="68"/>
      <c r="EZ24" s="68">
        <v>2</v>
      </c>
      <c r="FA24" s="68"/>
      <c r="FB24" s="10">
        <f t="shared" si="112"/>
        <v>0</v>
      </c>
      <c r="FC24" s="68"/>
      <c r="FD24" s="68">
        <f t="shared" si="113"/>
        <v>0</v>
      </c>
      <c r="FE24" s="72"/>
      <c r="FF24" s="72"/>
      <c r="FG24" s="72">
        <v>2</v>
      </c>
      <c r="FH24" s="72"/>
      <c r="FI24" s="73">
        <f t="shared" si="114"/>
        <v>0</v>
      </c>
      <c r="FJ24" s="72"/>
      <c r="FK24" s="72">
        <f t="shared" si="115"/>
        <v>0</v>
      </c>
      <c r="FL24" s="68"/>
      <c r="FM24" s="68"/>
      <c r="FN24" s="68">
        <v>2</v>
      </c>
      <c r="FO24" s="68"/>
      <c r="FP24" s="10">
        <f t="shared" si="116"/>
        <v>0</v>
      </c>
      <c r="FQ24" s="68"/>
      <c r="FR24" s="68">
        <f t="shared" si="117"/>
        <v>0</v>
      </c>
      <c r="FS24" s="72"/>
      <c r="FT24" s="72"/>
      <c r="FU24" s="72">
        <v>2</v>
      </c>
      <c r="FV24" s="72"/>
      <c r="FW24" s="73">
        <f t="shared" si="118"/>
        <v>0</v>
      </c>
      <c r="FX24" s="72"/>
      <c r="FY24" s="72">
        <f t="shared" si="119"/>
        <v>0</v>
      </c>
      <c r="FZ24" s="72"/>
      <c r="GA24" s="72"/>
      <c r="GB24" s="72">
        <v>2</v>
      </c>
      <c r="GC24" s="72"/>
      <c r="GD24" s="73">
        <f t="shared" si="120"/>
        <v>0</v>
      </c>
      <c r="GE24" s="72"/>
      <c r="GF24" s="72">
        <f t="shared" si="121"/>
        <v>0</v>
      </c>
      <c r="GG24" s="68"/>
      <c r="GH24" s="68"/>
      <c r="GI24" s="68">
        <v>2</v>
      </c>
      <c r="GJ24" s="68"/>
      <c r="GK24" s="10">
        <f t="shared" si="122"/>
        <v>0</v>
      </c>
      <c r="GL24" s="68"/>
      <c r="GM24" s="68">
        <f t="shared" si="123"/>
        <v>0</v>
      </c>
      <c r="GN24" s="72"/>
      <c r="GO24" s="72"/>
      <c r="GP24" s="72">
        <v>2</v>
      </c>
      <c r="GQ24" s="72"/>
      <c r="GR24" s="73">
        <f t="shared" si="124"/>
        <v>0</v>
      </c>
      <c r="GS24" s="72"/>
      <c r="GT24" s="72">
        <f t="shared" si="125"/>
        <v>0</v>
      </c>
      <c r="GU24" s="68"/>
      <c r="GV24" s="68"/>
      <c r="GW24" s="68">
        <v>2</v>
      </c>
      <c r="GX24" s="68"/>
      <c r="GY24" s="10">
        <f t="shared" si="126"/>
        <v>0</v>
      </c>
      <c r="GZ24" s="68"/>
      <c r="HA24" s="68">
        <f t="shared" si="127"/>
        <v>0</v>
      </c>
      <c r="HB24" s="72"/>
      <c r="HC24" s="72"/>
      <c r="HD24" s="72">
        <v>2</v>
      </c>
      <c r="HE24" s="72"/>
      <c r="HF24" s="73">
        <f t="shared" si="128"/>
        <v>0</v>
      </c>
      <c r="HG24" s="72"/>
      <c r="HH24" s="72">
        <f t="shared" si="129"/>
        <v>0</v>
      </c>
      <c r="HI24" s="72"/>
      <c r="HJ24" s="72"/>
      <c r="HK24" s="72">
        <v>2</v>
      </c>
      <c r="HL24" s="72"/>
      <c r="HM24" s="73">
        <f t="shared" si="130"/>
        <v>0</v>
      </c>
      <c r="HN24" s="72"/>
      <c r="HO24" s="72">
        <f t="shared" si="131"/>
        <v>0</v>
      </c>
      <c r="HP24" s="68"/>
      <c r="HQ24" s="68"/>
      <c r="HR24" s="68">
        <v>2</v>
      </c>
      <c r="HS24" s="68"/>
      <c r="HT24" s="10">
        <f t="shared" si="132"/>
        <v>0</v>
      </c>
      <c r="HU24" s="68"/>
      <c r="HV24" s="68">
        <f t="shared" si="133"/>
        <v>0</v>
      </c>
      <c r="HW24" s="72"/>
      <c r="HX24" s="72"/>
      <c r="HY24" s="72">
        <v>2</v>
      </c>
      <c r="HZ24" s="72"/>
      <c r="IA24" s="73">
        <f t="shared" si="134"/>
        <v>0</v>
      </c>
      <c r="IB24" s="72"/>
      <c r="IC24" s="72">
        <f t="shared" si="135"/>
        <v>0</v>
      </c>
      <c r="ID24" s="68"/>
      <c r="IE24" s="68"/>
      <c r="IF24" s="68">
        <v>2</v>
      </c>
      <c r="IG24" s="68"/>
      <c r="IH24" s="10">
        <f t="shared" si="136"/>
        <v>0</v>
      </c>
      <c r="II24" s="68"/>
      <c r="IJ24" s="68">
        <f t="shared" si="137"/>
        <v>0</v>
      </c>
      <c r="IK24" s="72"/>
      <c r="IL24" s="72"/>
      <c r="IM24" s="72">
        <v>2</v>
      </c>
      <c r="IN24" s="72"/>
      <c r="IO24" s="73">
        <f t="shared" si="138"/>
        <v>0</v>
      </c>
      <c r="IP24" s="72"/>
      <c r="IQ24" s="72">
        <f t="shared" si="139"/>
        <v>0</v>
      </c>
    </row>
    <row r="25" spans="1:251" ht="34.5" customHeight="1">
      <c r="A25" s="115" t="s">
        <v>128</v>
      </c>
      <c r="B25" s="71"/>
      <c r="C25" s="72" t="s">
        <v>129</v>
      </c>
      <c r="D25" s="72" t="s">
        <v>130</v>
      </c>
      <c r="E25" s="72" t="s">
        <v>131</v>
      </c>
      <c r="F25" s="72" t="s">
        <v>50</v>
      </c>
      <c r="G25" s="68"/>
      <c r="H25" s="1"/>
      <c r="I25" s="1">
        <v>2</v>
      </c>
      <c r="J25" s="1"/>
      <c r="K25" s="10">
        <f t="shared" si="70"/>
        <v>0</v>
      </c>
      <c r="L25" s="1"/>
      <c r="M25" s="1">
        <f t="shared" si="71"/>
        <v>0</v>
      </c>
      <c r="N25" s="2"/>
      <c r="O25" s="2"/>
      <c r="P25" s="2">
        <v>2</v>
      </c>
      <c r="Q25" s="2"/>
      <c r="R25" s="3">
        <f t="shared" si="72"/>
        <v>0</v>
      </c>
      <c r="S25" s="2"/>
      <c r="T25" s="2">
        <f t="shared" si="73"/>
        <v>0</v>
      </c>
      <c r="U25" s="1"/>
      <c r="V25" s="1"/>
      <c r="W25" s="1">
        <v>2</v>
      </c>
      <c r="X25" s="1"/>
      <c r="Y25" s="10">
        <f t="shared" si="74"/>
        <v>0</v>
      </c>
      <c r="Z25" s="1"/>
      <c r="AA25" s="1">
        <f t="shared" si="75"/>
        <v>0</v>
      </c>
      <c r="AB25" s="2"/>
      <c r="AC25" s="2"/>
      <c r="AD25" s="2">
        <v>2</v>
      </c>
      <c r="AE25" s="2"/>
      <c r="AF25" s="3">
        <f t="shared" si="76"/>
        <v>0</v>
      </c>
      <c r="AG25" s="2"/>
      <c r="AH25" s="2">
        <f t="shared" si="77"/>
        <v>0</v>
      </c>
      <c r="AI25" s="1"/>
      <c r="AJ25" s="1"/>
      <c r="AK25" s="1">
        <v>2</v>
      </c>
      <c r="AL25" s="1"/>
      <c r="AM25" s="10">
        <f t="shared" si="78"/>
        <v>0</v>
      </c>
      <c r="AN25" s="1"/>
      <c r="AO25" s="1">
        <f t="shared" si="79"/>
        <v>0</v>
      </c>
      <c r="AP25" s="2"/>
      <c r="AQ25" s="2"/>
      <c r="AR25" s="2">
        <v>2</v>
      </c>
      <c r="AS25" s="2"/>
      <c r="AT25" s="3">
        <f t="shared" si="80"/>
        <v>0</v>
      </c>
      <c r="AU25" s="2"/>
      <c r="AV25" s="2">
        <f t="shared" si="81"/>
        <v>0</v>
      </c>
      <c r="AW25" s="1"/>
      <c r="AX25" s="1"/>
      <c r="AY25" s="1">
        <v>2</v>
      </c>
      <c r="AZ25" s="1"/>
      <c r="BA25" s="10">
        <f t="shared" si="82"/>
        <v>0</v>
      </c>
      <c r="BB25" s="1"/>
      <c r="BC25" s="1">
        <f t="shared" si="83"/>
        <v>0</v>
      </c>
      <c r="BD25" s="2"/>
      <c r="BE25" s="2"/>
      <c r="BF25" s="2">
        <v>2</v>
      </c>
      <c r="BG25" s="2"/>
      <c r="BH25" s="3">
        <f t="shared" si="84"/>
        <v>0</v>
      </c>
      <c r="BI25" s="2"/>
      <c r="BJ25" s="2">
        <f t="shared" si="85"/>
        <v>0</v>
      </c>
      <c r="BK25" s="1"/>
      <c r="BL25" s="1"/>
      <c r="BM25" s="1">
        <v>2</v>
      </c>
      <c r="BN25" s="1"/>
      <c r="BO25" s="10">
        <f t="shared" si="86"/>
        <v>0</v>
      </c>
      <c r="BP25" s="1"/>
      <c r="BQ25" s="1">
        <f t="shared" si="87"/>
        <v>0</v>
      </c>
      <c r="BR25" s="2"/>
      <c r="BS25" s="2"/>
      <c r="BT25" s="2">
        <v>2</v>
      </c>
      <c r="BU25" s="2"/>
      <c r="BV25" s="3">
        <f t="shared" si="88"/>
        <v>0</v>
      </c>
      <c r="BW25" s="2"/>
      <c r="BX25" s="2">
        <f t="shared" si="89"/>
        <v>0</v>
      </c>
      <c r="BY25" s="1"/>
      <c r="BZ25" s="1"/>
      <c r="CA25" s="1">
        <v>2</v>
      </c>
      <c r="CB25" s="1"/>
      <c r="CC25" s="10">
        <f t="shared" si="90"/>
        <v>0</v>
      </c>
      <c r="CD25" s="1"/>
      <c r="CE25" s="1">
        <f t="shared" si="91"/>
        <v>0</v>
      </c>
      <c r="CF25" s="2"/>
      <c r="CG25" s="2"/>
      <c r="CH25" s="2">
        <v>2</v>
      </c>
      <c r="CI25" s="2"/>
      <c r="CJ25" s="3">
        <f t="shared" si="92"/>
        <v>0</v>
      </c>
      <c r="CK25" s="2"/>
      <c r="CL25" s="2">
        <f t="shared" si="93"/>
        <v>0</v>
      </c>
      <c r="CM25" s="1"/>
      <c r="CN25" s="1"/>
      <c r="CO25" s="1">
        <v>2</v>
      </c>
      <c r="CP25" s="1"/>
      <c r="CQ25" s="10">
        <f t="shared" si="94"/>
        <v>0</v>
      </c>
      <c r="CR25" s="1"/>
      <c r="CS25" s="1">
        <f t="shared" si="95"/>
        <v>0</v>
      </c>
      <c r="CT25" s="2"/>
      <c r="CU25" s="2"/>
      <c r="CV25" s="2">
        <v>2</v>
      </c>
      <c r="CW25" s="2"/>
      <c r="CX25" s="3">
        <f t="shared" si="96"/>
        <v>0</v>
      </c>
      <c r="CY25" s="2"/>
      <c r="CZ25" s="2">
        <f t="shared" si="97"/>
        <v>0</v>
      </c>
      <c r="DA25" s="1"/>
      <c r="DB25" s="1"/>
      <c r="DC25" s="1">
        <v>2</v>
      </c>
      <c r="DD25" s="1"/>
      <c r="DE25" s="10">
        <f t="shared" si="98"/>
        <v>0</v>
      </c>
      <c r="DF25" s="1"/>
      <c r="DG25" s="1">
        <f t="shared" si="99"/>
        <v>0</v>
      </c>
      <c r="DH25" s="2"/>
      <c r="DI25" s="2"/>
      <c r="DJ25" s="2">
        <v>2</v>
      </c>
      <c r="DK25" s="2"/>
      <c r="DL25" s="3">
        <f t="shared" si="100"/>
        <v>0</v>
      </c>
      <c r="DM25" s="2"/>
      <c r="DN25" s="2">
        <f t="shared" si="101"/>
        <v>0</v>
      </c>
      <c r="DO25" s="1"/>
      <c r="DP25" s="1"/>
      <c r="DQ25" s="1">
        <v>2</v>
      </c>
      <c r="DR25" s="1"/>
      <c r="DS25" s="10">
        <f t="shared" si="102"/>
        <v>0</v>
      </c>
      <c r="DT25" s="1"/>
      <c r="DU25" s="1">
        <f t="shared" si="103"/>
        <v>0</v>
      </c>
      <c r="DV25" s="2"/>
      <c r="DW25" s="2"/>
      <c r="DX25" s="2">
        <v>2</v>
      </c>
      <c r="DY25" s="2"/>
      <c r="DZ25" s="3">
        <f t="shared" si="104"/>
        <v>0</v>
      </c>
      <c r="EA25" s="2"/>
      <c r="EB25" s="2">
        <f t="shared" si="105"/>
        <v>0</v>
      </c>
      <c r="EC25" s="1"/>
      <c r="ED25" s="1"/>
      <c r="EE25" s="1">
        <v>2</v>
      </c>
      <c r="EF25" s="1"/>
      <c r="EG25" s="10">
        <f t="shared" si="106"/>
        <v>0</v>
      </c>
      <c r="EH25" s="1"/>
      <c r="EI25" s="1">
        <f t="shared" si="107"/>
        <v>0</v>
      </c>
      <c r="EJ25" s="2"/>
      <c r="EK25" s="2"/>
      <c r="EL25" s="2">
        <v>2</v>
      </c>
      <c r="EM25" s="2"/>
      <c r="EN25" s="3">
        <f t="shared" si="108"/>
        <v>0</v>
      </c>
      <c r="EO25" s="2"/>
      <c r="EP25" s="2">
        <f t="shared" si="109"/>
        <v>0</v>
      </c>
      <c r="EQ25" s="72"/>
      <c r="ER25" s="72"/>
      <c r="ES25" s="72">
        <v>2</v>
      </c>
      <c r="ET25" s="72"/>
      <c r="EU25" s="73">
        <f t="shared" si="110"/>
        <v>0</v>
      </c>
      <c r="EV25" s="72"/>
      <c r="EW25" s="72">
        <f t="shared" si="111"/>
        <v>0</v>
      </c>
      <c r="EX25" s="68"/>
      <c r="EY25" s="68"/>
      <c r="EZ25" s="68">
        <v>2</v>
      </c>
      <c r="FA25" s="68"/>
      <c r="FB25" s="10">
        <f t="shared" si="112"/>
        <v>0</v>
      </c>
      <c r="FC25" s="68"/>
      <c r="FD25" s="68">
        <f t="shared" si="113"/>
        <v>0</v>
      </c>
      <c r="FE25" s="72"/>
      <c r="FF25" s="72"/>
      <c r="FG25" s="72">
        <v>2</v>
      </c>
      <c r="FH25" s="72"/>
      <c r="FI25" s="73">
        <f t="shared" si="114"/>
        <v>0</v>
      </c>
      <c r="FJ25" s="72"/>
      <c r="FK25" s="72">
        <f t="shared" si="115"/>
        <v>0</v>
      </c>
      <c r="FL25" s="68"/>
      <c r="FM25" s="68"/>
      <c r="FN25" s="68">
        <v>2</v>
      </c>
      <c r="FO25" s="68"/>
      <c r="FP25" s="10">
        <f t="shared" si="116"/>
        <v>0</v>
      </c>
      <c r="FQ25" s="68"/>
      <c r="FR25" s="68">
        <f t="shared" si="117"/>
        <v>0</v>
      </c>
      <c r="FS25" s="72"/>
      <c r="FT25" s="72"/>
      <c r="FU25" s="72">
        <v>2</v>
      </c>
      <c r="FV25" s="72"/>
      <c r="FW25" s="73">
        <f t="shared" si="118"/>
        <v>0</v>
      </c>
      <c r="FX25" s="72"/>
      <c r="FY25" s="72">
        <f t="shared" si="119"/>
        <v>0</v>
      </c>
      <c r="FZ25" s="72"/>
      <c r="GA25" s="72"/>
      <c r="GB25" s="72">
        <v>2</v>
      </c>
      <c r="GC25" s="72"/>
      <c r="GD25" s="73">
        <f t="shared" si="120"/>
        <v>0</v>
      </c>
      <c r="GE25" s="72"/>
      <c r="GF25" s="72">
        <f t="shared" si="121"/>
        <v>0</v>
      </c>
      <c r="GG25" s="68"/>
      <c r="GH25" s="68"/>
      <c r="GI25" s="68">
        <v>2</v>
      </c>
      <c r="GJ25" s="68"/>
      <c r="GK25" s="10">
        <f t="shared" si="122"/>
        <v>0</v>
      </c>
      <c r="GL25" s="68"/>
      <c r="GM25" s="68">
        <f t="shared" si="123"/>
        <v>0</v>
      </c>
      <c r="GN25" s="72"/>
      <c r="GO25" s="72"/>
      <c r="GP25" s="72">
        <v>2</v>
      </c>
      <c r="GQ25" s="72"/>
      <c r="GR25" s="73">
        <f t="shared" si="124"/>
        <v>0</v>
      </c>
      <c r="GS25" s="72"/>
      <c r="GT25" s="72">
        <f t="shared" si="125"/>
        <v>0</v>
      </c>
      <c r="GU25" s="68"/>
      <c r="GV25" s="68"/>
      <c r="GW25" s="68">
        <v>2</v>
      </c>
      <c r="GX25" s="68"/>
      <c r="GY25" s="10">
        <f t="shared" si="126"/>
        <v>0</v>
      </c>
      <c r="GZ25" s="68"/>
      <c r="HA25" s="68">
        <f t="shared" si="127"/>
        <v>0</v>
      </c>
      <c r="HB25" s="72"/>
      <c r="HC25" s="72"/>
      <c r="HD25" s="72">
        <v>2</v>
      </c>
      <c r="HE25" s="72"/>
      <c r="HF25" s="73">
        <f t="shared" si="128"/>
        <v>0</v>
      </c>
      <c r="HG25" s="72"/>
      <c r="HH25" s="72">
        <f t="shared" si="129"/>
        <v>0</v>
      </c>
      <c r="HI25" s="72"/>
      <c r="HJ25" s="72"/>
      <c r="HK25" s="72">
        <v>2</v>
      </c>
      <c r="HL25" s="72"/>
      <c r="HM25" s="73">
        <f t="shared" si="130"/>
        <v>0</v>
      </c>
      <c r="HN25" s="72"/>
      <c r="HO25" s="72">
        <f t="shared" si="131"/>
        <v>0</v>
      </c>
      <c r="HP25" s="68"/>
      <c r="HQ25" s="68"/>
      <c r="HR25" s="68">
        <v>2</v>
      </c>
      <c r="HS25" s="68"/>
      <c r="HT25" s="10">
        <f t="shared" si="132"/>
        <v>0</v>
      </c>
      <c r="HU25" s="68"/>
      <c r="HV25" s="68">
        <f t="shared" si="133"/>
        <v>0</v>
      </c>
      <c r="HW25" s="72"/>
      <c r="HX25" s="72"/>
      <c r="HY25" s="72">
        <v>2</v>
      </c>
      <c r="HZ25" s="72"/>
      <c r="IA25" s="73">
        <f t="shared" si="134"/>
        <v>0</v>
      </c>
      <c r="IB25" s="72"/>
      <c r="IC25" s="72">
        <f t="shared" si="135"/>
        <v>0</v>
      </c>
      <c r="ID25" s="68"/>
      <c r="IE25" s="68"/>
      <c r="IF25" s="68">
        <v>2</v>
      </c>
      <c r="IG25" s="68"/>
      <c r="IH25" s="10">
        <f t="shared" si="136"/>
        <v>0</v>
      </c>
      <c r="II25" s="68"/>
      <c r="IJ25" s="68">
        <f t="shared" si="137"/>
        <v>0</v>
      </c>
      <c r="IK25" s="72"/>
      <c r="IL25" s="72"/>
      <c r="IM25" s="72">
        <v>2</v>
      </c>
      <c r="IN25" s="72"/>
      <c r="IO25" s="73">
        <f t="shared" si="138"/>
        <v>0</v>
      </c>
      <c r="IP25" s="72"/>
      <c r="IQ25" s="72">
        <f t="shared" si="139"/>
        <v>0</v>
      </c>
    </row>
    <row r="26" spans="1:251" ht="31.5" customHeight="1">
      <c r="A26" s="115" t="s">
        <v>132</v>
      </c>
      <c r="B26" s="71"/>
      <c r="C26" s="72" t="s">
        <v>133</v>
      </c>
      <c r="D26" s="72" t="s">
        <v>134</v>
      </c>
      <c r="E26" s="72" t="s">
        <v>135</v>
      </c>
      <c r="F26" s="73" t="s">
        <v>51</v>
      </c>
      <c r="G26" s="68"/>
      <c r="H26" s="1"/>
      <c r="I26" s="1">
        <v>2</v>
      </c>
      <c r="J26" s="1"/>
      <c r="K26" s="10">
        <f t="shared" si="70"/>
        <v>0</v>
      </c>
      <c r="L26" s="1"/>
      <c r="M26" s="1">
        <f t="shared" si="71"/>
        <v>0</v>
      </c>
      <c r="N26" s="2"/>
      <c r="O26" s="2"/>
      <c r="P26" s="2">
        <v>2</v>
      </c>
      <c r="Q26" s="2"/>
      <c r="R26" s="3">
        <f t="shared" si="72"/>
        <v>0</v>
      </c>
      <c r="S26" s="2"/>
      <c r="T26" s="2">
        <f t="shared" si="73"/>
        <v>0</v>
      </c>
      <c r="U26" s="1"/>
      <c r="V26" s="1"/>
      <c r="W26" s="1">
        <v>2</v>
      </c>
      <c r="X26" s="1"/>
      <c r="Y26" s="10">
        <f t="shared" si="74"/>
        <v>0</v>
      </c>
      <c r="Z26" s="1"/>
      <c r="AA26" s="1">
        <f t="shared" si="75"/>
        <v>0</v>
      </c>
      <c r="AB26" s="2"/>
      <c r="AC26" s="2"/>
      <c r="AD26" s="2">
        <v>2</v>
      </c>
      <c r="AE26" s="2"/>
      <c r="AF26" s="3">
        <f t="shared" si="76"/>
        <v>0</v>
      </c>
      <c r="AG26" s="2"/>
      <c r="AH26" s="2">
        <f t="shared" si="77"/>
        <v>0</v>
      </c>
      <c r="AI26" s="1"/>
      <c r="AJ26" s="1"/>
      <c r="AK26" s="1">
        <v>2</v>
      </c>
      <c r="AL26" s="1"/>
      <c r="AM26" s="10">
        <f t="shared" si="78"/>
        <v>0</v>
      </c>
      <c r="AN26" s="1"/>
      <c r="AO26" s="1">
        <f t="shared" si="79"/>
        <v>0</v>
      </c>
      <c r="AP26" s="2"/>
      <c r="AQ26" s="2"/>
      <c r="AR26" s="2">
        <v>2</v>
      </c>
      <c r="AS26" s="2"/>
      <c r="AT26" s="3">
        <f t="shared" si="80"/>
        <v>0</v>
      </c>
      <c r="AU26" s="2"/>
      <c r="AV26" s="2">
        <f t="shared" si="81"/>
        <v>0</v>
      </c>
      <c r="AW26" s="1"/>
      <c r="AX26" s="1"/>
      <c r="AY26" s="1">
        <v>2</v>
      </c>
      <c r="AZ26" s="1"/>
      <c r="BA26" s="10">
        <f t="shared" si="82"/>
        <v>0</v>
      </c>
      <c r="BB26" s="1"/>
      <c r="BC26" s="1">
        <f t="shared" si="83"/>
        <v>0</v>
      </c>
      <c r="BD26" s="2"/>
      <c r="BE26" s="2"/>
      <c r="BF26" s="2">
        <v>2</v>
      </c>
      <c r="BG26" s="2"/>
      <c r="BH26" s="3">
        <f t="shared" si="84"/>
        <v>0</v>
      </c>
      <c r="BI26" s="2"/>
      <c r="BJ26" s="2">
        <f t="shared" si="85"/>
        <v>0</v>
      </c>
      <c r="BK26" s="1"/>
      <c r="BL26" s="1"/>
      <c r="BM26" s="1">
        <v>2</v>
      </c>
      <c r="BN26" s="1"/>
      <c r="BO26" s="10">
        <f t="shared" si="86"/>
        <v>0</v>
      </c>
      <c r="BP26" s="1"/>
      <c r="BQ26" s="1">
        <f t="shared" si="87"/>
        <v>0</v>
      </c>
      <c r="BR26" s="2"/>
      <c r="BS26" s="2"/>
      <c r="BT26" s="2">
        <v>2</v>
      </c>
      <c r="BU26" s="2"/>
      <c r="BV26" s="3">
        <f t="shared" si="88"/>
        <v>0</v>
      </c>
      <c r="BW26" s="2"/>
      <c r="BX26" s="2">
        <f t="shared" si="89"/>
        <v>0</v>
      </c>
      <c r="BY26" s="1"/>
      <c r="BZ26" s="1"/>
      <c r="CA26" s="1">
        <v>2</v>
      </c>
      <c r="CB26" s="1"/>
      <c r="CC26" s="10">
        <f t="shared" si="90"/>
        <v>0</v>
      </c>
      <c r="CD26" s="1"/>
      <c r="CE26" s="1">
        <f t="shared" si="91"/>
        <v>0</v>
      </c>
      <c r="CF26" s="2"/>
      <c r="CG26" s="2"/>
      <c r="CH26" s="2">
        <v>2</v>
      </c>
      <c r="CI26" s="2"/>
      <c r="CJ26" s="3">
        <f t="shared" si="92"/>
        <v>0</v>
      </c>
      <c r="CK26" s="2"/>
      <c r="CL26" s="2">
        <f t="shared" si="93"/>
        <v>0</v>
      </c>
      <c r="CM26" s="1"/>
      <c r="CN26" s="1"/>
      <c r="CO26" s="1">
        <v>2</v>
      </c>
      <c r="CP26" s="1"/>
      <c r="CQ26" s="10">
        <f t="shared" si="94"/>
        <v>0</v>
      </c>
      <c r="CR26" s="1"/>
      <c r="CS26" s="1">
        <f t="shared" si="95"/>
        <v>0</v>
      </c>
      <c r="CT26" s="2"/>
      <c r="CU26" s="2"/>
      <c r="CV26" s="2">
        <v>2</v>
      </c>
      <c r="CW26" s="2"/>
      <c r="CX26" s="3">
        <f t="shared" si="96"/>
        <v>0</v>
      </c>
      <c r="CY26" s="2"/>
      <c r="CZ26" s="2">
        <f t="shared" si="97"/>
        <v>0</v>
      </c>
      <c r="DA26" s="1"/>
      <c r="DB26" s="1"/>
      <c r="DC26" s="1">
        <v>2</v>
      </c>
      <c r="DD26" s="1"/>
      <c r="DE26" s="10">
        <f t="shared" si="98"/>
        <v>0</v>
      </c>
      <c r="DF26" s="1"/>
      <c r="DG26" s="1">
        <f t="shared" si="99"/>
        <v>0</v>
      </c>
      <c r="DH26" s="2"/>
      <c r="DI26" s="2"/>
      <c r="DJ26" s="2">
        <v>2</v>
      </c>
      <c r="DK26" s="2"/>
      <c r="DL26" s="3">
        <f t="shared" si="100"/>
        <v>0</v>
      </c>
      <c r="DM26" s="2"/>
      <c r="DN26" s="2">
        <f t="shared" si="101"/>
        <v>0</v>
      </c>
      <c r="DO26" s="1"/>
      <c r="DP26" s="1"/>
      <c r="DQ26" s="1">
        <v>2</v>
      </c>
      <c r="DR26" s="1"/>
      <c r="DS26" s="10">
        <f t="shared" si="102"/>
        <v>0</v>
      </c>
      <c r="DT26" s="1"/>
      <c r="DU26" s="1">
        <f t="shared" si="103"/>
        <v>0</v>
      </c>
      <c r="DV26" s="2"/>
      <c r="DW26" s="2"/>
      <c r="DX26" s="2">
        <v>2</v>
      </c>
      <c r="DY26" s="2"/>
      <c r="DZ26" s="3">
        <f t="shared" si="104"/>
        <v>0</v>
      </c>
      <c r="EA26" s="2"/>
      <c r="EB26" s="2">
        <f t="shared" si="105"/>
        <v>0</v>
      </c>
      <c r="EC26" s="1"/>
      <c r="ED26" s="1"/>
      <c r="EE26" s="1">
        <v>2</v>
      </c>
      <c r="EF26" s="1"/>
      <c r="EG26" s="10">
        <f t="shared" si="106"/>
        <v>0</v>
      </c>
      <c r="EH26" s="1"/>
      <c r="EI26" s="1">
        <f t="shared" si="107"/>
        <v>0</v>
      </c>
      <c r="EJ26" s="2"/>
      <c r="EK26" s="2"/>
      <c r="EL26" s="2">
        <v>2</v>
      </c>
      <c r="EM26" s="2"/>
      <c r="EN26" s="3">
        <f t="shared" si="108"/>
        <v>0</v>
      </c>
      <c r="EO26" s="2"/>
      <c r="EP26" s="2">
        <f t="shared" si="109"/>
        <v>0</v>
      </c>
      <c r="EQ26" s="72"/>
      <c r="ER26" s="72"/>
      <c r="ES26" s="72">
        <v>2</v>
      </c>
      <c r="ET26" s="72"/>
      <c r="EU26" s="73">
        <f t="shared" si="110"/>
        <v>0</v>
      </c>
      <c r="EV26" s="72"/>
      <c r="EW26" s="72">
        <f t="shared" si="111"/>
        <v>0</v>
      </c>
      <c r="EX26" s="68"/>
      <c r="EY26" s="68"/>
      <c r="EZ26" s="68">
        <v>2</v>
      </c>
      <c r="FA26" s="68"/>
      <c r="FB26" s="10">
        <f t="shared" si="112"/>
        <v>0</v>
      </c>
      <c r="FC26" s="68"/>
      <c r="FD26" s="68">
        <f t="shared" si="113"/>
        <v>0</v>
      </c>
      <c r="FE26" s="72"/>
      <c r="FF26" s="72"/>
      <c r="FG26" s="72">
        <v>2</v>
      </c>
      <c r="FH26" s="72"/>
      <c r="FI26" s="73">
        <f t="shared" si="114"/>
        <v>0</v>
      </c>
      <c r="FJ26" s="72"/>
      <c r="FK26" s="72">
        <f t="shared" si="115"/>
        <v>0</v>
      </c>
      <c r="FL26" s="68"/>
      <c r="FM26" s="68"/>
      <c r="FN26" s="68">
        <v>2</v>
      </c>
      <c r="FO26" s="68"/>
      <c r="FP26" s="10">
        <f t="shared" si="116"/>
        <v>0</v>
      </c>
      <c r="FQ26" s="68"/>
      <c r="FR26" s="68">
        <f t="shared" si="117"/>
        <v>0</v>
      </c>
      <c r="FS26" s="72"/>
      <c r="FT26" s="72"/>
      <c r="FU26" s="72">
        <v>2</v>
      </c>
      <c r="FV26" s="72"/>
      <c r="FW26" s="73">
        <f t="shared" si="118"/>
        <v>0</v>
      </c>
      <c r="FX26" s="72"/>
      <c r="FY26" s="72">
        <f t="shared" si="119"/>
        <v>0</v>
      </c>
      <c r="FZ26" s="72"/>
      <c r="GA26" s="72"/>
      <c r="GB26" s="72">
        <v>2</v>
      </c>
      <c r="GC26" s="72"/>
      <c r="GD26" s="73">
        <f t="shared" si="120"/>
        <v>0</v>
      </c>
      <c r="GE26" s="72"/>
      <c r="GF26" s="72">
        <f t="shared" si="121"/>
        <v>0</v>
      </c>
      <c r="GG26" s="68"/>
      <c r="GH26" s="68"/>
      <c r="GI26" s="68">
        <v>2</v>
      </c>
      <c r="GJ26" s="68"/>
      <c r="GK26" s="10">
        <f t="shared" si="122"/>
        <v>0</v>
      </c>
      <c r="GL26" s="68"/>
      <c r="GM26" s="68">
        <f t="shared" si="123"/>
        <v>0</v>
      </c>
      <c r="GN26" s="72"/>
      <c r="GO26" s="72"/>
      <c r="GP26" s="72">
        <v>2</v>
      </c>
      <c r="GQ26" s="72"/>
      <c r="GR26" s="73">
        <f t="shared" si="124"/>
        <v>0</v>
      </c>
      <c r="GS26" s="72"/>
      <c r="GT26" s="72">
        <f t="shared" si="125"/>
        <v>0</v>
      </c>
      <c r="GU26" s="68"/>
      <c r="GV26" s="68"/>
      <c r="GW26" s="68">
        <v>2</v>
      </c>
      <c r="GX26" s="68"/>
      <c r="GY26" s="10">
        <f t="shared" si="126"/>
        <v>0</v>
      </c>
      <c r="GZ26" s="68"/>
      <c r="HA26" s="68">
        <f t="shared" si="127"/>
        <v>0</v>
      </c>
      <c r="HB26" s="72"/>
      <c r="HC26" s="72"/>
      <c r="HD26" s="72">
        <v>2</v>
      </c>
      <c r="HE26" s="72"/>
      <c r="HF26" s="73">
        <f t="shared" si="128"/>
        <v>0</v>
      </c>
      <c r="HG26" s="72"/>
      <c r="HH26" s="72">
        <f t="shared" si="129"/>
        <v>0</v>
      </c>
      <c r="HI26" s="72"/>
      <c r="HJ26" s="72"/>
      <c r="HK26" s="72">
        <v>2</v>
      </c>
      <c r="HL26" s="72"/>
      <c r="HM26" s="73">
        <f t="shared" si="130"/>
        <v>0</v>
      </c>
      <c r="HN26" s="72"/>
      <c r="HO26" s="72">
        <f t="shared" si="131"/>
        <v>0</v>
      </c>
      <c r="HP26" s="68"/>
      <c r="HQ26" s="68"/>
      <c r="HR26" s="68">
        <v>2</v>
      </c>
      <c r="HS26" s="68"/>
      <c r="HT26" s="10">
        <f t="shared" si="132"/>
        <v>0</v>
      </c>
      <c r="HU26" s="68"/>
      <c r="HV26" s="68">
        <f t="shared" si="133"/>
        <v>0</v>
      </c>
      <c r="HW26" s="72"/>
      <c r="HX26" s="72"/>
      <c r="HY26" s="72">
        <v>2</v>
      </c>
      <c r="HZ26" s="72"/>
      <c r="IA26" s="73">
        <f t="shared" si="134"/>
        <v>0</v>
      </c>
      <c r="IB26" s="72"/>
      <c r="IC26" s="72">
        <f t="shared" si="135"/>
        <v>0</v>
      </c>
      <c r="ID26" s="68"/>
      <c r="IE26" s="68"/>
      <c r="IF26" s="68">
        <v>2</v>
      </c>
      <c r="IG26" s="68"/>
      <c r="IH26" s="10">
        <f t="shared" si="136"/>
        <v>0</v>
      </c>
      <c r="II26" s="68"/>
      <c r="IJ26" s="68">
        <f t="shared" si="137"/>
        <v>0</v>
      </c>
      <c r="IK26" s="72"/>
      <c r="IL26" s="72"/>
      <c r="IM26" s="72">
        <v>2</v>
      </c>
      <c r="IN26" s="72"/>
      <c r="IO26" s="73">
        <f t="shared" si="138"/>
        <v>0</v>
      </c>
      <c r="IP26" s="72"/>
      <c r="IQ26" s="72">
        <f t="shared" si="139"/>
        <v>0</v>
      </c>
    </row>
    <row r="27" spans="1:251" s="5" customFormat="1" ht="61.5" customHeight="1">
      <c r="A27" s="115" t="s">
        <v>136</v>
      </c>
      <c r="B27" s="77"/>
      <c r="C27" s="72" t="s">
        <v>137</v>
      </c>
      <c r="D27" s="72" t="s">
        <v>138</v>
      </c>
      <c r="E27" s="72" t="s">
        <v>139</v>
      </c>
      <c r="F27" s="72" t="s">
        <v>52</v>
      </c>
      <c r="G27" s="68"/>
      <c r="H27" s="1"/>
      <c r="I27" s="1">
        <v>2</v>
      </c>
      <c r="J27" s="1"/>
      <c r="K27" s="10">
        <f t="shared" si="70"/>
        <v>0</v>
      </c>
      <c r="L27" s="1"/>
      <c r="M27" s="1">
        <f t="shared" si="71"/>
        <v>0</v>
      </c>
      <c r="N27" s="2"/>
      <c r="O27" s="2"/>
      <c r="P27" s="2">
        <v>2</v>
      </c>
      <c r="Q27" s="2"/>
      <c r="R27" s="3">
        <f t="shared" si="72"/>
        <v>0</v>
      </c>
      <c r="S27" s="2"/>
      <c r="T27" s="2">
        <f t="shared" si="73"/>
        <v>0</v>
      </c>
      <c r="U27" s="1"/>
      <c r="V27" s="1"/>
      <c r="W27" s="1">
        <v>2</v>
      </c>
      <c r="X27" s="1"/>
      <c r="Y27" s="10">
        <f t="shared" si="74"/>
        <v>0</v>
      </c>
      <c r="Z27" s="1"/>
      <c r="AA27" s="1">
        <f t="shared" si="75"/>
        <v>0</v>
      </c>
      <c r="AB27" s="2"/>
      <c r="AC27" s="2"/>
      <c r="AD27" s="2">
        <v>2</v>
      </c>
      <c r="AE27" s="2"/>
      <c r="AF27" s="3">
        <f t="shared" si="76"/>
        <v>0</v>
      </c>
      <c r="AG27" s="2"/>
      <c r="AH27" s="2">
        <f t="shared" si="77"/>
        <v>0</v>
      </c>
      <c r="AI27" s="1"/>
      <c r="AJ27" s="1"/>
      <c r="AK27" s="1">
        <v>2</v>
      </c>
      <c r="AL27" s="1"/>
      <c r="AM27" s="10">
        <f t="shared" si="78"/>
        <v>0</v>
      </c>
      <c r="AN27" s="1"/>
      <c r="AO27" s="1">
        <f t="shared" si="79"/>
        <v>0</v>
      </c>
      <c r="AP27" s="2"/>
      <c r="AQ27" s="2"/>
      <c r="AR27" s="2">
        <v>2</v>
      </c>
      <c r="AS27" s="2"/>
      <c r="AT27" s="3">
        <f t="shared" si="80"/>
        <v>0</v>
      </c>
      <c r="AU27" s="2"/>
      <c r="AV27" s="2">
        <f t="shared" si="81"/>
        <v>0</v>
      </c>
      <c r="AW27" s="1"/>
      <c r="AX27" s="1"/>
      <c r="AY27" s="1">
        <v>2</v>
      </c>
      <c r="AZ27" s="1"/>
      <c r="BA27" s="10">
        <f t="shared" si="82"/>
        <v>0</v>
      </c>
      <c r="BB27" s="1"/>
      <c r="BC27" s="1">
        <f t="shared" si="83"/>
        <v>0</v>
      </c>
      <c r="BD27" s="2"/>
      <c r="BE27" s="2"/>
      <c r="BF27" s="2">
        <v>2</v>
      </c>
      <c r="BG27" s="2"/>
      <c r="BH27" s="3">
        <f t="shared" si="84"/>
        <v>0</v>
      </c>
      <c r="BI27" s="2"/>
      <c r="BJ27" s="2">
        <f t="shared" si="85"/>
        <v>0</v>
      </c>
      <c r="BK27" s="1"/>
      <c r="BL27" s="1"/>
      <c r="BM27" s="1">
        <v>2</v>
      </c>
      <c r="BN27" s="1"/>
      <c r="BO27" s="10">
        <f t="shared" si="86"/>
        <v>0</v>
      </c>
      <c r="BP27" s="1"/>
      <c r="BQ27" s="1">
        <f t="shared" si="87"/>
        <v>0</v>
      </c>
      <c r="BR27" s="2"/>
      <c r="BS27" s="2"/>
      <c r="BT27" s="2">
        <v>2</v>
      </c>
      <c r="BU27" s="2"/>
      <c r="BV27" s="3">
        <f t="shared" si="88"/>
        <v>0</v>
      </c>
      <c r="BW27" s="2"/>
      <c r="BX27" s="2">
        <f t="shared" si="89"/>
        <v>0</v>
      </c>
      <c r="BY27" s="1"/>
      <c r="BZ27" s="1"/>
      <c r="CA27" s="1">
        <v>2</v>
      </c>
      <c r="CB27" s="1"/>
      <c r="CC27" s="10">
        <f t="shared" si="90"/>
        <v>0</v>
      </c>
      <c r="CD27" s="1"/>
      <c r="CE27" s="1">
        <f t="shared" si="91"/>
        <v>0</v>
      </c>
      <c r="CF27" s="2"/>
      <c r="CG27" s="2"/>
      <c r="CH27" s="2">
        <v>2</v>
      </c>
      <c r="CI27" s="2"/>
      <c r="CJ27" s="3">
        <f t="shared" si="92"/>
        <v>0</v>
      </c>
      <c r="CK27" s="2"/>
      <c r="CL27" s="2">
        <f t="shared" si="93"/>
        <v>0</v>
      </c>
      <c r="CM27" s="1"/>
      <c r="CN27" s="1"/>
      <c r="CO27" s="1">
        <v>2</v>
      </c>
      <c r="CP27" s="1"/>
      <c r="CQ27" s="10">
        <f t="shared" si="94"/>
        <v>0</v>
      </c>
      <c r="CR27" s="1"/>
      <c r="CS27" s="1">
        <f t="shared" si="95"/>
        <v>0</v>
      </c>
      <c r="CT27" s="2"/>
      <c r="CU27" s="2"/>
      <c r="CV27" s="2">
        <v>2</v>
      </c>
      <c r="CW27" s="2"/>
      <c r="CX27" s="3">
        <f t="shared" si="96"/>
        <v>0</v>
      </c>
      <c r="CY27" s="2"/>
      <c r="CZ27" s="2">
        <f t="shared" si="97"/>
        <v>0</v>
      </c>
      <c r="DA27" s="1"/>
      <c r="DB27" s="1"/>
      <c r="DC27" s="1">
        <v>2</v>
      </c>
      <c r="DD27" s="1"/>
      <c r="DE27" s="10">
        <f t="shared" si="98"/>
        <v>0</v>
      </c>
      <c r="DF27" s="1"/>
      <c r="DG27" s="1">
        <f t="shared" si="99"/>
        <v>0</v>
      </c>
      <c r="DH27" s="2"/>
      <c r="DI27" s="2"/>
      <c r="DJ27" s="2">
        <v>2</v>
      </c>
      <c r="DK27" s="2"/>
      <c r="DL27" s="3">
        <f t="shared" si="100"/>
        <v>0</v>
      </c>
      <c r="DM27" s="2"/>
      <c r="DN27" s="2">
        <f t="shared" si="101"/>
        <v>0</v>
      </c>
      <c r="DO27" s="1"/>
      <c r="DP27" s="1"/>
      <c r="DQ27" s="1">
        <v>2</v>
      </c>
      <c r="DR27" s="1"/>
      <c r="DS27" s="10">
        <f t="shared" si="102"/>
        <v>0</v>
      </c>
      <c r="DT27" s="1"/>
      <c r="DU27" s="1">
        <f t="shared" si="103"/>
        <v>0</v>
      </c>
      <c r="DV27" s="2"/>
      <c r="DW27" s="2"/>
      <c r="DX27" s="2">
        <v>2</v>
      </c>
      <c r="DY27" s="2"/>
      <c r="DZ27" s="3">
        <f t="shared" si="104"/>
        <v>0</v>
      </c>
      <c r="EA27" s="2"/>
      <c r="EB27" s="2">
        <f t="shared" si="105"/>
        <v>0</v>
      </c>
      <c r="EC27" s="1"/>
      <c r="ED27" s="1"/>
      <c r="EE27" s="1">
        <v>2</v>
      </c>
      <c r="EF27" s="1"/>
      <c r="EG27" s="10">
        <f t="shared" si="106"/>
        <v>0</v>
      </c>
      <c r="EH27" s="1"/>
      <c r="EI27" s="1">
        <f t="shared" si="107"/>
        <v>0</v>
      </c>
      <c r="EJ27" s="2"/>
      <c r="EK27" s="2"/>
      <c r="EL27" s="2">
        <v>2</v>
      </c>
      <c r="EM27" s="2"/>
      <c r="EN27" s="3">
        <f t="shared" si="108"/>
        <v>0</v>
      </c>
      <c r="EO27" s="2"/>
      <c r="EP27" s="2">
        <f t="shared" si="109"/>
        <v>0</v>
      </c>
      <c r="EQ27" s="72"/>
      <c r="ER27" s="72"/>
      <c r="ES27" s="72">
        <v>2</v>
      </c>
      <c r="ET27" s="72"/>
      <c r="EU27" s="73">
        <f t="shared" si="110"/>
        <v>0</v>
      </c>
      <c r="EV27" s="72"/>
      <c r="EW27" s="72">
        <f t="shared" si="111"/>
        <v>0</v>
      </c>
      <c r="EX27" s="68"/>
      <c r="EY27" s="68"/>
      <c r="EZ27" s="68">
        <v>2</v>
      </c>
      <c r="FA27" s="68"/>
      <c r="FB27" s="10">
        <f t="shared" si="112"/>
        <v>0</v>
      </c>
      <c r="FC27" s="68"/>
      <c r="FD27" s="68">
        <f t="shared" si="113"/>
        <v>0</v>
      </c>
      <c r="FE27" s="72"/>
      <c r="FF27" s="72"/>
      <c r="FG27" s="72">
        <v>2</v>
      </c>
      <c r="FH27" s="72"/>
      <c r="FI27" s="73">
        <f t="shared" si="114"/>
        <v>0</v>
      </c>
      <c r="FJ27" s="72"/>
      <c r="FK27" s="72">
        <f t="shared" si="115"/>
        <v>0</v>
      </c>
      <c r="FL27" s="68"/>
      <c r="FM27" s="68"/>
      <c r="FN27" s="68">
        <v>2</v>
      </c>
      <c r="FO27" s="68"/>
      <c r="FP27" s="10">
        <f t="shared" si="116"/>
        <v>0</v>
      </c>
      <c r="FQ27" s="68"/>
      <c r="FR27" s="68">
        <f t="shared" si="117"/>
        <v>0</v>
      </c>
      <c r="FS27" s="72"/>
      <c r="FT27" s="72"/>
      <c r="FU27" s="72">
        <v>2</v>
      </c>
      <c r="FV27" s="72"/>
      <c r="FW27" s="73">
        <f t="shared" si="118"/>
        <v>0</v>
      </c>
      <c r="FX27" s="72"/>
      <c r="FY27" s="72">
        <f t="shared" si="119"/>
        <v>0</v>
      </c>
      <c r="FZ27" s="72"/>
      <c r="GA27" s="72"/>
      <c r="GB27" s="72">
        <v>2</v>
      </c>
      <c r="GC27" s="72"/>
      <c r="GD27" s="73">
        <f t="shared" si="120"/>
        <v>0</v>
      </c>
      <c r="GE27" s="72"/>
      <c r="GF27" s="72">
        <f t="shared" si="121"/>
        <v>0</v>
      </c>
      <c r="GG27" s="68"/>
      <c r="GH27" s="68"/>
      <c r="GI27" s="68">
        <v>2</v>
      </c>
      <c r="GJ27" s="68"/>
      <c r="GK27" s="10">
        <f t="shared" si="122"/>
        <v>0</v>
      </c>
      <c r="GL27" s="68"/>
      <c r="GM27" s="68">
        <f t="shared" si="123"/>
        <v>0</v>
      </c>
      <c r="GN27" s="72"/>
      <c r="GO27" s="72"/>
      <c r="GP27" s="72">
        <v>2</v>
      </c>
      <c r="GQ27" s="72"/>
      <c r="GR27" s="73">
        <f t="shared" si="124"/>
        <v>0</v>
      </c>
      <c r="GS27" s="72"/>
      <c r="GT27" s="72">
        <f t="shared" si="125"/>
        <v>0</v>
      </c>
      <c r="GU27" s="68"/>
      <c r="GV27" s="68"/>
      <c r="GW27" s="68">
        <v>2</v>
      </c>
      <c r="GX27" s="68"/>
      <c r="GY27" s="10">
        <f t="shared" si="126"/>
        <v>0</v>
      </c>
      <c r="GZ27" s="68"/>
      <c r="HA27" s="68">
        <f t="shared" si="127"/>
        <v>0</v>
      </c>
      <c r="HB27" s="72"/>
      <c r="HC27" s="72"/>
      <c r="HD27" s="72">
        <v>2</v>
      </c>
      <c r="HE27" s="72"/>
      <c r="HF27" s="73">
        <f t="shared" si="128"/>
        <v>0</v>
      </c>
      <c r="HG27" s="72"/>
      <c r="HH27" s="72">
        <f t="shared" si="129"/>
        <v>0</v>
      </c>
      <c r="HI27" s="72"/>
      <c r="HJ27" s="72"/>
      <c r="HK27" s="72">
        <v>2</v>
      </c>
      <c r="HL27" s="72"/>
      <c r="HM27" s="73">
        <f t="shared" si="130"/>
        <v>0</v>
      </c>
      <c r="HN27" s="72"/>
      <c r="HO27" s="72">
        <f t="shared" si="131"/>
        <v>0</v>
      </c>
      <c r="HP27" s="68"/>
      <c r="HQ27" s="68"/>
      <c r="HR27" s="68">
        <v>2</v>
      </c>
      <c r="HS27" s="68"/>
      <c r="HT27" s="10">
        <f t="shared" si="132"/>
        <v>0</v>
      </c>
      <c r="HU27" s="68"/>
      <c r="HV27" s="68">
        <f t="shared" si="133"/>
        <v>0</v>
      </c>
      <c r="HW27" s="72"/>
      <c r="HX27" s="72"/>
      <c r="HY27" s="72">
        <v>2</v>
      </c>
      <c r="HZ27" s="72"/>
      <c r="IA27" s="73">
        <f t="shared" si="134"/>
        <v>0</v>
      </c>
      <c r="IB27" s="72"/>
      <c r="IC27" s="72">
        <f t="shared" si="135"/>
        <v>0</v>
      </c>
      <c r="ID27" s="68"/>
      <c r="IE27" s="68"/>
      <c r="IF27" s="68">
        <v>2</v>
      </c>
      <c r="IG27" s="68"/>
      <c r="IH27" s="10">
        <f t="shared" si="136"/>
        <v>0</v>
      </c>
      <c r="II27" s="68"/>
      <c r="IJ27" s="68">
        <f t="shared" si="137"/>
        <v>0</v>
      </c>
      <c r="IK27" s="72"/>
      <c r="IL27" s="72"/>
      <c r="IM27" s="72">
        <v>2</v>
      </c>
      <c r="IN27" s="72"/>
      <c r="IO27" s="73">
        <f t="shared" si="138"/>
        <v>0</v>
      </c>
      <c r="IP27" s="72"/>
      <c r="IQ27" s="72">
        <f t="shared" si="139"/>
        <v>0</v>
      </c>
    </row>
    <row r="28" spans="1:251" s="9" customFormat="1" ht="57" customHeight="1">
      <c r="A28" s="92" t="s">
        <v>140</v>
      </c>
      <c r="B28" s="93"/>
      <c r="C28" s="94"/>
      <c r="D28" s="94"/>
      <c r="E28" s="94"/>
      <c r="F28" s="81"/>
      <c r="G28" s="79"/>
      <c r="H28" s="79"/>
      <c r="I28" s="79">
        <f>SUM(I16:I27)/(AVERAGE(I16:I27))</f>
        <v>12</v>
      </c>
      <c r="J28" s="79"/>
      <c r="K28" s="12">
        <f>(SUM(K16:K27))/(SUM(I16:I27))</f>
        <v>0</v>
      </c>
      <c r="L28" s="79"/>
      <c r="M28" s="79" t="e">
        <f>AVERAGE(L16:L27)</f>
        <v>#DIV/0!</v>
      </c>
      <c r="N28" s="79"/>
      <c r="O28" s="79"/>
      <c r="P28" s="79">
        <f>SUM(P16:P27)/(AVERAGE(P16:P27))</f>
        <v>12</v>
      </c>
      <c r="Q28" s="79"/>
      <c r="R28" s="12">
        <f>(SUM(R16:R27))/(SUM(P16:P27))</f>
        <v>0</v>
      </c>
      <c r="S28" s="79"/>
      <c r="T28" s="79" t="e">
        <f>AVERAGE(S16:S27)</f>
        <v>#DIV/0!</v>
      </c>
      <c r="U28" s="79"/>
      <c r="V28" s="79"/>
      <c r="W28" s="79">
        <f>SUM(W16:W27)/(AVERAGE(W16:W27))</f>
        <v>12</v>
      </c>
      <c r="X28" s="79"/>
      <c r="Y28" s="12">
        <f>(SUM(Y16:Y27))/(SUM(W16:W27))</f>
        <v>0</v>
      </c>
      <c r="Z28" s="79"/>
      <c r="AA28" s="79" t="e">
        <f>AVERAGE(Z16:Z27)</f>
        <v>#DIV/0!</v>
      </c>
      <c r="AB28" s="79"/>
      <c r="AC28" s="79"/>
      <c r="AD28" s="79">
        <f>SUM(AD16:AD27)/(AVERAGE(AD16:AD27))</f>
        <v>12</v>
      </c>
      <c r="AE28" s="79"/>
      <c r="AF28" s="12">
        <f>(SUM(AF16:AF27))/(SUM(AD16:AD27))</f>
        <v>0</v>
      </c>
      <c r="AG28" s="79"/>
      <c r="AH28" s="79" t="e">
        <f>AVERAGE(AG16:AG27)</f>
        <v>#DIV/0!</v>
      </c>
      <c r="AI28" s="79"/>
      <c r="AJ28" s="79"/>
      <c r="AK28" s="79">
        <f>SUM(AK16:AK27)/(AVERAGE(AK16:AK27))</f>
        <v>12</v>
      </c>
      <c r="AL28" s="79"/>
      <c r="AM28" s="12">
        <f>(SUM(AM16:AM27))/(SUM(AK16:AK27))</f>
        <v>0</v>
      </c>
      <c r="AN28" s="79"/>
      <c r="AO28" s="79" t="e">
        <f>AVERAGE(AN16:AN27)</f>
        <v>#DIV/0!</v>
      </c>
      <c r="AP28" s="79"/>
      <c r="AQ28" s="79"/>
      <c r="AR28" s="79">
        <f>SUM(AR16:AR27)/(AVERAGE(AR16:AR27))</f>
        <v>12</v>
      </c>
      <c r="AS28" s="79"/>
      <c r="AT28" s="12">
        <f>(SUM(AT16:AT27))/(SUM(AR16:AR27))</f>
        <v>0</v>
      </c>
      <c r="AU28" s="79"/>
      <c r="AV28" s="79" t="e">
        <f>AVERAGE(AU16:AU27)</f>
        <v>#DIV/0!</v>
      </c>
      <c r="AW28" s="79"/>
      <c r="AX28" s="79"/>
      <c r="AY28" s="79">
        <f>SUM(AY16:AY27)/(AVERAGE(AY16:AY27))</f>
        <v>12</v>
      </c>
      <c r="AZ28" s="79"/>
      <c r="BA28" s="12">
        <f>(SUM(BA16:BA27))/(SUM(AY16:AY27))</f>
        <v>0</v>
      </c>
      <c r="BB28" s="79"/>
      <c r="BC28" s="79" t="e">
        <f>AVERAGE(BB16:BB27)</f>
        <v>#DIV/0!</v>
      </c>
      <c r="BD28" s="79"/>
      <c r="BE28" s="79"/>
      <c r="BF28" s="79">
        <f>SUM(BF16:BF27)/(AVERAGE(BF16:BF27))</f>
        <v>12</v>
      </c>
      <c r="BG28" s="79"/>
      <c r="BH28" s="12">
        <f>(SUM(BH16:BH27))/(SUM(BF16:BF27))</f>
        <v>0</v>
      </c>
      <c r="BI28" s="79"/>
      <c r="BJ28" s="79" t="e">
        <f>AVERAGE(BI16:BI27)</f>
        <v>#DIV/0!</v>
      </c>
      <c r="BK28" s="79"/>
      <c r="BL28" s="79"/>
      <c r="BM28" s="79">
        <f>SUM(BM16:BM27)/(AVERAGE(BM16:BM27))</f>
        <v>12</v>
      </c>
      <c r="BN28" s="79"/>
      <c r="BO28" s="12">
        <f>(SUM(BO16:BO27))/(SUM(BM16:BM27))</f>
        <v>0</v>
      </c>
      <c r="BP28" s="79"/>
      <c r="BQ28" s="79" t="e">
        <f>AVERAGE(BP16:BP27)</f>
        <v>#DIV/0!</v>
      </c>
      <c r="BR28" s="79"/>
      <c r="BS28" s="79"/>
      <c r="BT28" s="79">
        <f>SUM(BT16:BT27)/(AVERAGE(BT16:BT27))</f>
        <v>12</v>
      </c>
      <c r="BU28" s="79"/>
      <c r="BV28" s="12">
        <f>(SUM(BV16:BV27))/(SUM(BT16:BT27))</f>
        <v>0</v>
      </c>
      <c r="BW28" s="79"/>
      <c r="BX28" s="79" t="e">
        <f>AVERAGE(BW16:BW27)</f>
        <v>#DIV/0!</v>
      </c>
      <c r="BY28" s="79"/>
      <c r="BZ28" s="79"/>
      <c r="CA28" s="79">
        <f>SUM(CA16:CA27)/(AVERAGE(CA16:CA27))</f>
        <v>12</v>
      </c>
      <c r="CB28" s="79"/>
      <c r="CC28" s="12">
        <f>(SUM(CC16:CC27))/(SUM(CA16:CA27))</f>
        <v>0</v>
      </c>
      <c r="CD28" s="79"/>
      <c r="CE28" s="79" t="e">
        <f>AVERAGE(CD16:CD27)</f>
        <v>#DIV/0!</v>
      </c>
      <c r="CF28" s="79"/>
      <c r="CG28" s="79"/>
      <c r="CH28" s="79">
        <f>SUM(CH16:CH27)/(AVERAGE(CH16:CH27))</f>
        <v>12</v>
      </c>
      <c r="CI28" s="79"/>
      <c r="CJ28" s="12">
        <f>(SUM(CJ16:CJ27))/(SUM(CH16:CH27))</f>
        <v>0</v>
      </c>
      <c r="CK28" s="79"/>
      <c r="CL28" s="79" t="e">
        <f>AVERAGE(CK16:CK27)</f>
        <v>#DIV/0!</v>
      </c>
      <c r="CM28" s="79"/>
      <c r="CN28" s="79"/>
      <c r="CO28" s="79">
        <f>SUM(CO16:CO27)/(AVERAGE(CO16:CO27))</f>
        <v>12</v>
      </c>
      <c r="CP28" s="79"/>
      <c r="CQ28" s="12">
        <f>(SUM(CQ16:CQ27))/(SUM(CO16:CO27))</f>
        <v>0</v>
      </c>
      <c r="CR28" s="79"/>
      <c r="CS28" s="79" t="e">
        <f>AVERAGE(CR16:CR27)</f>
        <v>#DIV/0!</v>
      </c>
      <c r="CT28" s="79"/>
      <c r="CU28" s="79"/>
      <c r="CV28" s="79">
        <f>SUM(CV16:CV27)/(AVERAGE(CV16:CV27))</f>
        <v>12</v>
      </c>
      <c r="CW28" s="79"/>
      <c r="CX28" s="12">
        <f>(SUM(CX16:CX27))/(SUM(CV16:CV27))</f>
        <v>0</v>
      </c>
      <c r="CY28" s="79"/>
      <c r="CZ28" s="79" t="e">
        <f>AVERAGE(CY16:CY27)</f>
        <v>#DIV/0!</v>
      </c>
      <c r="DA28" s="79"/>
      <c r="DB28" s="79"/>
      <c r="DC28" s="79">
        <f>SUM(DC16:DC27)/(AVERAGE(DC16:DC27))</f>
        <v>12</v>
      </c>
      <c r="DD28" s="79"/>
      <c r="DE28" s="12">
        <f>(SUM(DE16:DE27))/(SUM(DC16:DC27))</f>
        <v>0</v>
      </c>
      <c r="DF28" s="79"/>
      <c r="DG28" s="79" t="e">
        <f>AVERAGE(DF16:DF27)</f>
        <v>#DIV/0!</v>
      </c>
      <c r="DH28" s="79"/>
      <c r="DI28" s="79"/>
      <c r="DJ28" s="79">
        <f>SUM(DJ16:DJ27)/(AVERAGE(DJ16:DJ27))</f>
        <v>12</v>
      </c>
      <c r="DK28" s="79"/>
      <c r="DL28" s="12">
        <f>(SUM(DL16:DL27))/(SUM(DJ16:DJ27))</f>
        <v>0</v>
      </c>
      <c r="DM28" s="79"/>
      <c r="DN28" s="79" t="e">
        <f>AVERAGE(DM16:DM27)</f>
        <v>#DIV/0!</v>
      </c>
      <c r="DO28" s="79"/>
      <c r="DP28" s="79"/>
      <c r="DQ28" s="79">
        <f>SUM(DQ16:DQ27)/(AVERAGE(DQ16:DQ27))</f>
        <v>12</v>
      </c>
      <c r="DR28" s="79"/>
      <c r="DS28" s="12">
        <f>(SUM(DS16:DS27))/(SUM(DQ16:DQ27))</f>
        <v>0</v>
      </c>
      <c r="DT28" s="79"/>
      <c r="DU28" s="79" t="e">
        <f>AVERAGE(DT16:DT27)</f>
        <v>#DIV/0!</v>
      </c>
      <c r="DV28" s="79"/>
      <c r="DW28" s="79"/>
      <c r="DX28" s="79">
        <f>SUM(DX16:DX27)/(AVERAGE(DX16:DX27))</f>
        <v>12</v>
      </c>
      <c r="DY28" s="79"/>
      <c r="DZ28" s="12">
        <f>(SUM(DZ16:DZ27))/(SUM(DX16:DX27))</f>
        <v>0</v>
      </c>
      <c r="EA28" s="79"/>
      <c r="EB28" s="79" t="e">
        <f>AVERAGE(EA16:EA27)</f>
        <v>#DIV/0!</v>
      </c>
      <c r="EC28" s="79"/>
      <c r="ED28" s="79"/>
      <c r="EE28" s="79">
        <f>SUM(EE16:EE27)/(AVERAGE(EE16:EE27))</f>
        <v>12</v>
      </c>
      <c r="EF28" s="79"/>
      <c r="EG28" s="12">
        <f>(SUM(EG16:EG27))/(SUM(EE16:EE27))</f>
        <v>0</v>
      </c>
      <c r="EH28" s="79"/>
      <c r="EI28" s="79" t="e">
        <f>AVERAGE(EH16:EH27)</f>
        <v>#DIV/0!</v>
      </c>
      <c r="EJ28" s="79"/>
      <c r="EK28" s="79"/>
      <c r="EL28" s="79">
        <f>SUM(EL16:EL27)/(AVERAGE(EL16:EL27))</f>
        <v>12</v>
      </c>
      <c r="EM28" s="79"/>
      <c r="EN28" s="12">
        <f>(SUM(EN16:EN27))/(SUM(EL16:EL27))</f>
        <v>0</v>
      </c>
      <c r="EO28" s="79"/>
      <c r="EP28" s="79" t="e">
        <f>AVERAGE(EO16:EO27)</f>
        <v>#DIV/0!</v>
      </c>
      <c r="EQ28" s="79"/>
      <c r="ER28" s="79"/>
      <c r="ES28" s="79">
        <f>SUM(ES16:ES27)/(AVERAGE(ES16:ES27))</f>
        <v>12</v>
      </c>
      <c r="ET28" s="79"/>
      <c r="EU28" s="12">
        <f>(SUM(EU16:EU27))/(SUM(ES16:ES27))</f>
        <v>0</v>
      </c>
      <c r="EV28" s="79"/>
      <c r="EW28" s="79" t="e">
        <f>AVERAGE(EV16:EV27)</f>
        <v>#DIV/0!</v>
      </c>
      <c r="EX28" s="79"/>
      <c r="EY28" s="79"/>
      <c r="EZ28" s="79">
        <f>SUM(EZ16:EZ27)/(AVERAGE(EZ16:EZ27))</f>
        <v>12</v>
      </c>
      <c r="FA28" s="79"/>
      <c r="FB28" s="12">
        <f>(SUM(FB16:FB27))/(SUM(EZ16:EZ27))</f>
        <v>0</v>
      </c>
      <c r="FC28" s="79"/>
      <c r="FD28" s="79" t="e">
        <f>AVERAGE(FC16:FC27)</f>
        <v>#DIV/0!</v>
      </c>
      <c r="FE28" s="79"/>
      <c r="FF28" s="79"/>
      <c r="FG28" s="79">
        <f>SUM(FG16:FG27)/(AVERAGE(FG16:FG27))</f>
        <v>12</v>
      </c>
      <c r="FH28" s="79"/>
      <c r="FI28" s="12">
        <f>(SUM(FI16:FI27))/(SUM(FG16:FG27))</f>
        <v>0</v>
      </c>
      <c r="FJ28" s="79"/>
      <c r="FK28" s="79" t="e">
        <f>AVERAGE(FJ16:FJ27)</f>
        <v>#DIV/0!</v>
      </c>
      <c r="FL28" s="79"/>
      <c r="FM28" s="79"/>
      <c r="FN28" s="79">
        <f>SUM(FN16:FN27)/(AVERAGE(FN16:FN27))</f>
        <v>12</v>
      </c>
      <c r="FO28" s="79"/>
      <c r="FP28" s="12">
        <f>(SUM(FP16:FP27))/(SUM(FN16:FN27))</f>
        <v>0</v>
      </c>
      <c r="FQ28" s="79"/>
      <c r="FR28" s="79" t="e">
        <f>AVERAGE(FQ16:FQ27)</f>
        <v>#DIV/0!</v>
      </c>
      <c r="FS28" s="79"/>
      <c r="FT28" s="79"/>
      <c r="FU28" s="79">
        <f>SUM(FU16:FU27)/(AVERAGE(FU16:FU27))</f>
        <v>12</v>
      </c>
      <c r="FV28" s="79"/>
      <c r="FW28" s="12">
        <f>(SUM(FW16:FW27))/(SUM(FU16:FU27))</f>
        <v>0</v>
      </c>
      <c r="FX28" s="79"/>
      <c r="FY28" s="79" t="e">
        <f>AVERAGE(FX16:FX27)</f>
        <v>#DIV/0!</v>
      </c>
      <c r="FZ28" s="79"/>
      <c r="GA28" s="79"/>
      <c r="GB28" s="79">
        <f>SUM(GB16:GB27)/(AVERAGE(GB16:GB27))</f>
        <v>12</v>
      </c>
      <c r="GC28" s="79"/>
      <c r="GD28" s="12">
        <f>(SUM(GD16:GD27))/(SUM(GB16:GB27))</f>
        <v>0</v>
      </c>
      <c r="GE28" s="79"/>
      <c r="GF28" s="79" t="e">
        <f>AVERAGE(GE16:GE27)</f>
        <v>#DIV/0!</v>
      </c>
      <c r="GG28" s="79"/>
      <c r="GH28" s="79"/>
      <c r="GI28" s="79">
        <f>SUM(GI16:GI27)/(AVERAGE(GI16:GI27))</f>
        <v>12</v>
      </c>
      <c r="GJ28" s="79"/>
      <c r="GK28" s="12">
        <f>(SUM(GK16:GK27))/(SUM(GI16:GI27))</f>
        <v>0</v>
      </c>
      <c r="GL28" s="79"/>
      <c r="GM28" s="79" t="e">
        <f>AVERAGE(GL16:GL27)</f>
        <v>#DIV/0!</v>
      </c>
      <c r="GN28" s="79"/>
      <c r="GO28" s="79"/>
      <c r="GP28" s="79">
        <f>SUM(GP16:GP27)/(AVERAGE(GP16:GP27))</f>
        <v>12</v>
      </c>
      <c r="GQ28" s="79"/>
      <c r="GR28" s="12">
        <f>(SUM(GR16:GR27))/(SUM(GP16:GP27))</f>
        <v>0</v>
      </c>
      <c r="GS28" s="79"/>
      <c r="GT28" s="79" t="e">
        <f>AVERAGE(GS16:GS27)</f>
        <v>#DIV/0!</v>
      </c>
      <c r="GU28" s="79"/>
      <c r="GV28" s="79"/>
      <c r="GW28" s="79">
        <f>SUM(GW16:GW27)/(AVERAGE(GW16:GW27))</f>
        <v>12</v>
      </c>
      <c r="GX28" s="79"/>
      <c r="GY28" s="12">
        <f>(SUM(GY16:GY27))/(SUM(GW16:GW27))</f>
        <v>0</v>
      </c>
      <c r="GZ28" s="79"/>
      <c r="HA28" s="79" t="e">
        <f>AVERAGE(GZ16:GZ27)</f>
        <v>#DIV/0!</v>
      </c>
      <c r="HB28" s="79"/>
      <c r="HC28" s="79"/>
      <c r="HD28" s="79">
        <f>SUM(HD16:HD27)/(AVERAGE(HD16:HD27))</f>
        <v>12</v>
      </c>
      <c r="HE28" s="79"/>
      <c r="HF28" s="12">
        <f>(SUM(HF16:HF27))/(SUM(HD16:HD27))</f>
        <v>0</v>
      </c>
      <c r="HG28" s="79"/>
      <c r="HH28" s="79" t="e">
        <f>AVERAGE(HG16:HG27)</f>
        <v>#DIV/0!</v>
      </c>
      <c r="HI28" s="79"/>
      <c r="HJ28" s="79"/>
      <c r="HK28" s="79">
        <f>SUM(HK16:HK27)/(AVERAGE(HK16:HK27))</f>
        <v>12</v>
      </c>
      <c r="HL28" s="79"/>
      <c r="HM28" s="12">
        <f>(SUM(HM16:HM27))/(SUM(HK16:HK27))</f>
        <v>0</v>
      </c>
      <c r="HN28" s="79"/>
      <c r="HO28" s="79" t="e">
        <f>AVERAGE(HN16:HN27)</f>
        <v>#DIV/0!</v>
      </c>
      <c r="HP28" s="79"/>
      <c r="HQ28" s="79"/>
      <c r="HR28" s="79">
        <f>SUM(HR16:HR27)/(AVERAGE(HR16:HR27))</f>
        <v>12</v>
      </c>
      <c r="HS28" s="79"/>
      <c r="HT28" s="12">
        <f>(SUM(HT16:HT27))/(SUM(HR16:HR27))</f>
        <v>0</v>
      </c>
      <c r="HU28" s="79"/>
      <c r="HV28" s="79" t="e">
        <f>AVERAGE(HU16:HU27)</f>
        <v>#DIV/0!</v>
      </c>
      <c r="HW28" s="79"/>
      <c r="HX28" s="79"/>
      <c r="HY28" s="79">
        <f>SUM(HY16:HY27)/(AVERAGE(HY16:HY27))</f>
        <v>12</v>
      </c>
      <c r="HZ28" s="79"/>
      <c r="IA28" s="12">
        <f>(SUM(IA16:IA27))/(SUM(HY16:HY27))</f>
        <v>0</v>
      </c>
      <c r="IB28" s="79"/>
      <c r="IC28" s="79" t="e">
        <f>AVERAGE(IB16:IB27)</f>
        <v>#DIV/0!</v>
      </c>
      <c r="ID28" s="79"/>
      <c r="IE28" s="79"/>
      <c r="IF28" s="79">
        <f>SUM(IF16:IF27)/(AVERAGE(IF16:IF27))</f>
        <v>12</v>
      </c>
      <c r="IG28" s="79"/>
      <c r="IH28" s="12">
        <f>(SUM(IH16:IH27))/(SUM(IF16:IF27))</f>
        <v>0</v>
      </c>
      <c r="II28" s="79"/>
      <c r="IJ28" s="79" t="e">
        <f>AVERAGE(II16:II27)</f>
        <v>#DIV/0!</v>
      </c>
      <c r="IK28" s="79"/>
      <c r="IL28" s="79"/>
      <c r="IM28" s="79">
        <f>SUM(IM16:IM27)/(AVERAGE(IM16:IM27))</f>
        <v>12</v>
      </c>
      <c r="IN28" s="79"/>
      <c r="IO28" s="12">
        <f>(SUM(IO16:IO27))/(SUM(IM16:IM27))</f>
        <v>0</v>
      </c>
      <c r="IP28" s="79"/>
      <c r="IQ28" s="79" t="e">
        <f>AVERAGE(IP16:IP27)</f>
        <v>#DIV/0!</v>
      </c>
    </row>
    <row r="29" spans="1:251" s="61" customFormat="1" ht="57" customHeight="1">
      <c r="A29" s="95" t="s">
        <v>141</v>
      </c>
      <c r="B29" s="96"/>
      <c r="C29" s="57"/>
      <c r="D29" s="57"/>
      <c r="E29" s="57"/>
      <c r="F29" s="82"/>
      <c r="G29" s="57"/>
      <c r="H29" s="57"/>
      <c r="I29" s="58">
        <f>SQRT(((K14-3)^2)+((K28-1)^2))</f>
        <v>3.1622776601683795</v>
      </c>
      <c r="J29" s="57"/>
      <c r="K29" s="59"/>
      <c r="L29" s="57"/>
      <c r="M29" s="57"/>
      <c r="N29" s="57"/>
      <c r="O29" s="57"/>
      <c r="P29" s="58">
        <f>SQRT(((R14-3)^2)+((R28-1)^2))</f>
        <v>3.1622776601683795</v>
      </c>
      <c r="Q29" s="57"/>
      <c r="R29" s="59"/>
      <c r="S29" s="57"/>
      <c r="T29" s="57"/>
      <c r="U29" s="57"/>
      <c r="V29" s="57"/>
      <c r="W29" s="58">
        <f>SQRT(((Y14-3)^2)+((Y28-1)^2))</f>
        <v>3.1622776601683795</v>
      </c>
      <c r="X29" s="57"/>
      <c r="Y29" s="59"/>
      <c r="Z29" s="57"/>
      <c r="AA29" s="57"/>
      <c r="AB29" s="57"/>
      <c r="AC29" s="57"/>
      <c r="AD29" s="58">
        <f>SQRT(((AF14-3)^2)+((AF28-1)^2))</f>
        <v>3.1622776601683795</v>
      </c>
      <c r="AE29" s="57"/>
      <c r="AF29" s="59"/>
      <c r="AG29" s="57"/>
      <c r="AH29" s="57"/>
      <c r="AI29" s="57"/>
      <c r="AJ29" s="57"/>
      <c r="AK29" s="58">
        <f>SQRT(((AM14-3)^2)+((AM28-1)^2))</f>
        <v>3.1622776601683795</v>
      </c>
      <c r="AL29" s="57"/>
      <c r="AM29" s="59"/>
      <c r="AN29" s="57"/>
      <c r="AO29" s="57"/>
      <c r="AP29" s="57"/>
      <c r="AQ29" s="57"/>
      <c r="AR29" s="58">
        <f>SQRT(((AT14-3)^2)+((AT28-1)^2))</f>
        <v>3.1622776601683795</v>
      </c>
      <c r="AS29" s="57"/>
      <c r="AT29" s="59"/>
      <c r="AU29" s="57"/>
      <c r="AV29" s="57"/>
      <c r="AW29" s="57"/>
      <c r="AX29" s="57"/>
      <c r="AY29" s="58">
        <f>SQRT(((BA14-3)^2)+((BA28-1)^2))</f>
        <v>3.1622776601683795</v>
      </c>
      <c r="AZ29" s="57"/>
      <c r="BA29" s="59"/>
      <c r="BB29" s="57"/>
      <c r="BC29" s="57"/>
      <c r="BD29" s="57"/>
      <c r="BE29" s="57"/>
      <c r="BF29" s="58">
        <f>SQRT(((BH14-3)^2)+((BH28-1)^2))</f>
        <v>3.1622776601683795</v>
      </c>
      <c r="BG29" s="57"/>
      <c r="BH29" s="59"/>
      <c r="BI29" s="57"/>
      <c r="BJ29" s="57"/>
      <c r="BK29" s="57"/>
      <c r="BL29" s="57"/>
      <c r="BM29" s="58">
        <f>SQRT(((BO14-3)^2)+((BO28-1)^2))</f>
        <v>3.1622776601683795</v>
      </c>
      <c r="BN29" s="57"/>
      <c r="BO29" s="59"/>
      <c r="BP29" s="57"/>
      <c r="BQ29" s="57"/>
      <c r="BR29" s="57"/>
      <c r="BS29" s="57"/>
      <c r="BT29" s="58">
        <f>SQRT(((BV14-3)^2)+((BV28-1)^2))</f>
        <v>3.1622776601683795</v>
      </c>
      <c r="BU29" s="57"/>
      <c r="BV29" s="59"/>
      <c r="BW29" s="57"/>
      <c r="BX29" s="57"/>
      <c r="BY29" s="57"/>
      <c r="BZ29" s="57"/>
      <c r="CA29" s="58">
        <f>SQRT(((CC14-3)^2)+((CC28-1)^2))</f>
        <v>3.1622776601683795</v>
      </c>
      <c r="CB29" s="57"/>
      <c r="CC29" s="59"/>
      <c r="CD29" s="57"/>
      <c r="CE29" s="57"/>
      <c r="CF29" s="57"/>
      <c r="CG29" s="57"/>
      <c r="CH29" s="58">
        <f>SQRT(((CJ14-3)^2)+((CJ28-1)^2))</f>
        <v>3.1622776601683795</v>
      </c>
      <c r="CI29" s="57"/>
      <c r="CJ29" s="59"/>
      <c r="CK29" s="57"/>
      <c r="CL29" s="57"/>
      <c r="CM29" s="57"/>
      <c r="CN29" s="57"/>
      <c r="CO29" s="58">
        <f>SQRT(((CQ14-3)^2)+((CQ28-1)^2))</f>
        <v>3.1622776601683795</v>
      </c>
      <c r="CP29" s="57"/>
      <c r="CQ29" s="59"/>
      <c r="CR29" s="57"/>
      <c r="CS29" s="57"/>
      <c r="CT29" s="57"/>
      <c r="CU29" s="57"/>
      <c r="CV29" s="58">
        <f>SQRT(((CX14-3)^2)+((CX28-1)^2))</f>
        <v>3.1622776601683795</v>
      </c>
      <c r="CW29" s="57"/>
      <c r="CX29" s="59"/>
      <c r="CY29" s="57"/>
      <c r="CZ29" s="57"/>
      <c r="DA29" s="57"/>
      <c r="DB29" s="57"/>
      <c r="DC29" s="58">
        <f>SQRT(((DE14-3)^2)+((DE28-1)^2))</f>
        <v>3.1622776601683795</v>
      </c>
      <c r="DD29" s="57"/>
      <c r="DE29" s="59"/>
      <c r="DF29" s="57"/>
      <c r="DG29" s="57"/>
      <c r="DH29" s="57"/>
      <c r="DI29" s="57"/>
      <c r="DJ29" s="58">
        <f>SQRT(((DL14-3)^2)+((DL28-1)^2))</f>
        <v>3.1622776601683795</v>
      </c>
      <c r="DK29" s="57"/>
      <c r="DL29" s="59"/>
      <c r="DM29" s="57"/>
      <c r="DN29" s="57"/>
      <c r="DO29" s="57"/>
      <c r="DP29" s="57"/>
      <c r="DQ29" s="58">
        <f>SQRT(((DS14-3)^2)+((DS28-1)^2))</f>
        <v>3.1622776601683795</v>
      </c>
      <c r="DR29" s="57"/>
      <c r="DS29" s="59"/>
      <c r="DT29" s="57"/>
      <c r="DU29" s="57"/>
      <c r="DV29" s="57"/>
      <c r="DW29" s="57"/>
      <c r="DX29" s="58">
        <f>SQRT(((DZ14-3)^2)+((DZ28-1)^2))</f>
        <v>3.1622776601683795</v>
      </c>
      <c r="DY29" s="57"/>
      <c r="DZ29" s="59"/>
      <c r="EA29" s="57"/>
      <c r="EB29" s="57"/>
      <c r="EC29" s="57"/>
      <c r="ED29" s="57"/>
      <c r="EE29" s="58">
        <f>SQRT(((EG14-3)^2)+((EG28-1)^2))</f>
        <v>3.1622776601683795</v>
      </c>
      <c r="EF29" s="57"/>
      <c r="EG29" s="59"/>
      <c r="EH29" s="57"/>
      <c r="EI29" s="57"/>
      <c r="EJ29" s="57"/>
      <c r="EK29" s="57"/>
      <c r="EL29" s="58">
        <f>SQRT(((EN14-3)^2)+((EN28-1)^2))</f>
        <v>3.1622776601683795</v>
      </c>
      <c r="EM29" s="57"/>
      <c r="EN29" s="59"/>
      <c r="EO29" s="57"/>
      <c r="EP29" s="57"/>
      <c r="EQ29" s="57"/>
      <c r="ER29" s="57"/>
      <c r="ES29" s="58">
        <f>SQRT(((EU14-3)^2)+((EU28-1)^2))</f>
        <v>3.1622776601683795</v>
      </c>
      <c r="ET29" s="57"/>
      <c r="EU29" s="59"/>
      <c r="EV29" s="57"/>
      <c r="EW29" s="57"/>
      <c r="EX29" s="57"/>
      <c r="EY29" s="57"/>
      <c r="EZ29" s="58">
        <f>SQRT(((FB14-3)^2)+((FB28-1)^2))</f>
        <v>3.1622776601683795</v>
      </c>
      <c r="FA29" s="57"/>
      <c r="FB29" s="59"/>
      <c r="FC29" s="57"/>
      <c r="FD29" s="57"/>
      <c r="FE29" s="57"/>
      <c r="FF29" s="57"/>
      <c r="FG29" s="58">
        <f>SQRT(((FI14-3)^2)+((FI28-1)^2))</f>
        <v>3.1622776601683795</v>
      </c>
      <c r="FH29" s="57"/>
      <c r="FI29" s="59"/>
      <c r="FJ29" s="57"/>
      <c r="FK29" s="57"/>
      <c r="FL29" s="57"/>
      <c r="FM29" s="57"/>
      <c r="FN29" s="58">
        <f>SQRT(((FP14-3)^2)+((FP28-1)^2))</f>
        <v>3.1622776601683795</v>
      </c>
      <c r="FO29" s="57"/>
      <c r="FP29" s="59"/>
      <c r="FQ29" s="57"/>
      <c r="FR29" s="57"/>
      <c r="FS29" s="57"/>
      <c r="FT29" s="57"/>
      <c r="FU29" s="58">
        <f>SQRT(((FW14-3)^2)+((FW28-1)^2))</f>
        <v>3.1622776601683795</v>
      </c>
      <c r="FV29" s="57"/>
      <c r="FW29" s="59"/>
      <c r="FX29" s="57"/>
      <c r="FY29" s="57"/>
      <c r="FZ29" s="57"/>
      <c r="GA29" s="57"/>
      <c r="GB29" s="58">
        <f>SQRT(((GD14-3)^2)+((GD28-1)^2))</f>
        <v>3.1622776601683795</v>
      </c>
      <c r="GC29" s="57"/>
      <c r="GD29" s="59"/>
      <c r="GE29" s="57"/>
      <c r="GF29" s="57"/>
      <c r="GG29" s="57"/>
      <c r="GH29" s="57"/>
      <c r="GI29" s="58">
        <f>SQRT(((GK14-3)^2)+((GK28-1)^2))</f>
        <v>3.1622776601683795</v>
      </c>
      <c r="GJ29" s="57"/>
      <c r="GK29" s="59"/>
      <c r="GL29" s="57"/>
      <c r="GM29" s="57"/>
      <c r="GN29" s="57"/>
      <c r="GO29" s="57"/>
      <c r="GP29" s="58">
        <f>SQRT(((GR14-3)^2)+((GR28-1)^2))</f>
        <v>3.1622776601683795</v>
      </c>
      <c r="GQ29" s="57"/>
      <c r="GR29" s="59"/>
      <c r="GS29" s="57"/>
      <c r="GT29" s="57"/>
      <c r="GU29" s="57"/>
      <c r="GV29" s="57"/>
      <c r="GW29" s="58">
        <f>SQRT(((GY14-3)^2)+((GY28-1)^2))</f>
        <v>3.1622776601683795</v>
      </c>
      <c r="GX29" s="57"/>
      <c r="GY29" s="59"/>
      <c r="GZ29" s="57"/>
      <c r="HA29" s="57"/>
      <c r="HB29" s="57"/>
      <c r="HC29" s="57"/>
      <c r="HD29" s="58">
        <f>SQRT(((HF14-3)^2)+((HF28-1)^2))</f>
        <v>3.1622776601683795</v>
      </c>
      <c r="HE29" s="57"/>
      <c r="HF29" s="59"/>
      <c r="HG29" s="57"/>
      <c r="HH29" s="57"/>
      <c r="HI29" s="57"/>
      <c r="HJ29" s="57"/>
      <c r="HK29" s="58">
        <f>SQRT(((HM14-3)^2)+((HM28-1)^2))</f>
        <v>3.1622776601683795</v>
      </c>
      <c r="HL29" s="57"/>
      <c r="HM29" s="59"/>
      <c r="HN29" s="57"/>
      <c r="HO29" s="57"/>
      <c r="HP29" s="57"/>
      <c r="HQ29" s="57"/>
      <c r="HR29" s="58">
        <f>SQRT(((HT14-3)^2)+((HT28-1)^2))</f>
        <v>3.1622776601683795</v>
      </c>
      <c r="HS29" s="57"/>
      <c r="HT29" s="59"/>
      <c r="HU29" s="57"/>
      <c r="HV29" s="57"/>
      <c r="HW29" s="57"/>
      <c r="HX29" s="57"/>
      <c r="HY29" s="58">
        <f>SQRT(((IA14-3)^2)+((IA28-1)^2))</f>
        <v>3.1622776601683795</v>
      </c>
      <c r="HZ29" s="57"/>
      <c r="IA29" s="59"/>
      <c r="IB29" s="57"/>
      <c r="IC29" s="57"/>
      <c r="ID29" s="57"/>
      <c r="IE29" s="57"/>
      <c r="IF29" s="58">
        <f>SQRT(((IH14-3)^2)+((IH28-1)^2))</f>
        <v>3.1622776601683795</v>
      </c>
      <c r="IG29" s="57"/>
      <c r="IH29" s="59"/>
      <c r="II29" s="57"/>
      <c r="IJ29" s="57"/>
      <c r="IK29" s="57"/>
      <c r="IL29" s="57"/>
      <c r="IM29" s="58">
        <f>SQRT(((IO14-3)^2)+((IO28-1)^2))</f>
        <v>3.1622776601683795</v>
      </c>
      <c r="IN29" s="57"/>
      <c r="IO29" s="59"/>
      <c r="IP29" s="57"/>
      <c r="IQ29" s="57"/>
    </row>
    <row r="30" spans="1:251" s="30" customFormat="1" ht="57" customHeight="1">
      <c r="A30" s="26"/>
      <c r="B30" s="27"/>
      <c r="C30" s="28"/>
      <c r="D30" s="28"/>
      <c r="E30" s="28"/>
      <c r="G30" s="28"/>
      <c r="H30" s="28"/>
      <c r="I30" s="25"/>
      <c r="J30" s="28"/>
      <c r="K30" s="29"/>
      <c r="L30" s="28"/>
      <c r="M30" s="25" t="e">
        <f>AVERAGE(L5:L14,L16:L27)</f>
        <v>#DIV/0!</v>
      </c>
      <c r="N30" s="28"/>
      <c r="O30" s="28"/>
      <c r="P30" s="25"/>
      <c r="Q30" s="28"/>
      <c r="R30" s="29"/>
      <c r="S30" s="28"/>
      <c r="T30" s="25" t="e">
        <f>AVERAGE(S5:S14,S16:S27)</f>
        <v>#DIV/0!</v>
      </c>
      <c r="U30" s="28"/>
      <c r="V30" s="28"/>
      <c r="W30" s="25"/>
      <c r="X30" s="28"/>
      <c r="Y30" s="29"/>
      <c r="Z30" s="28"/>
      <c r="AA30" s="25" t="e">
        <f>AVERAGE(Z5:Z14,Z16:Z27)</f>
        <v>#DIV/0!</v>
      </c>
      <c r="AB30" s="28"/>
      <c r="AC30" s="28"/>
      <c r="AD30" s="25"/>
      <c r="AE30" s="28"/>
      <c r="AF30" s="29"/>
      <c r="AG30" s="28"/>
      <c r="AH30" s="25" t="e">
        <f>AVERAGE(AG5:AG14,AG16:AG27)</f>
        <v>#DIV/0!</v>
      </c>
      <c r="AI30" s="28"/>
      <c r="AJ30" s="28"/>
      <c r="AK30" s="25"/>
      <c r="AL30" s="28"/>
      <c r="AM30" s="29"/>
      <c r="AN30" s="28"/>
      <c r="AO30" s="25" t="e">
        <f>AVERAGE(AN5:AN14,AN16:AN27)</f>
        <v>#DIV/0!</v>
      </c>
      <c r="AP30" s="28"/>
      <c r="AQ30" s="28"/>
      <c r="AR30" s="25"/>
      <c r="AS30" s="28"/>
      <c r="AT30" s="29"/>
      <c r="AU30" s="28"/>
      <c r="AV30" s="25" t="e">
        <f>AVERAGE(AU5:AU14,AU16:AU27)</f>
        <v>#DIV/0!</v>
      </c>
      <c r="AW30" s="28"/>
      <c r="AX30" s="28"/>
      <c r="AY30" s="25"/>
      <c r="AZ30" s="28"/>
      <c r="BA30" s="29"/>
      <c r="BB30" s="28"/>
      <c r="BC30" s="25" t="e">
        <f>AVERAGE(BB5:BB14,BB16:BB27)</f>
        <v>#DIV/0!</v>
      </c>
      <c r="BD30" s="28"/>
      <c r="BE30" s="28"/>
      <c r="BF30" s="25"/>
      <c r="BG30" s="28"/>
      <c r="BH30" s="29"/>
      <c r="BI30" s="28"/>
      <c r="BJ30" s="25" t="e">
        <f>AVERAGE(BI5:BI14,BI16:BI27)</f>
        <v>#DIV/0!</v>
      </c>
      <c r="BK30" s="28"/>
      <c r="BL30" s="28"/>
      <c r="BM30" s="25"/>
      <c r="BN30" s="28"/>
      <c r="BO30" s="29"/>
      <c r="BP30" s="28"/>
      <c r="BQ30" s="25" t="e">
        <f>AVERAGE(BP5:BP14,BP16:BP27)</f>
        <v>#DIV/0!</v>
      </c>
      <c r="BR30" s="28"/>
      <c r="BS30" s="28"/>
      <c r="BT30" s="25"/>
      <c r="BU30" s="28"/>
      <c r="BV30" s="29"/>
      <c r="BW30" s="28"/>
      <c r="BX30" s="25" t="e">
        <f>AVERAGE(BW5:BW14,BW16:BW27)</f>
        <v>#DIV/0!</v>
      </c>
      <c r="BY30" s="28"/>
      <c r="BZ30" s="28"/>
      <c r="CA30" s="25"/>
      <c r="CB30" s="28"/>
      <c r="CC30" s="29"/>
      <c r="CD30" s="28"/>
      <c r="CE30" s="25" t="e">
        <f>AVERAGE(CD5:CD14,CD16:CD27)</f>
        <v>#DIV/0!</v>
      </c>
      <c r="CF30" s="28"/>
      <c r="CG30" s="28"/>
      <c r="CH30" s="25"/>
      <c r="CI30" s="28"/>
      <c r="CJ30" s="29"/>
      <c r="CK30" s="28"/>
      <c r="CL30" s="25" t="e">
        <f>AVERAGE(CK5:CK14,CK16:CK27)</f>
        <v>#DIV/0!</v>
      </c>
      <c r="CM30" s="28"/>
      <c r="CN30" s="28"/>
      <c r="CO30" s="25"/>
      <c r="CP30" s="28"/>
      <c r="CQ30" s="29"/>
      <c r="CR30" s="28"/>
      <c r="CS30" s="25" t="e">
        <f>AVERAGE(CR5:CR14,CR16:CR27)</f>
        <v>#DIV/0!</v>
      </c>
      <c r="CT30" s="28"/>
      <c r="CU30" s="28"/>
      <c r="CV30" s="25"/>
      <c r="CW30" s="28"/>
      <c r="CX30" s="29"/>
      <c r="CY30" s="28"/>
      <c r="CZ30" s="25" t="e">
        <f>AVERAGE(CY5:CY14,CY16:CY27)</f>
        <v>#DIV/0!</v>
      </c>
      <c r="DA30" s="28"/>
      <c r="DB30" s="28"/>
      <c r="DC30" s="25"/>
      <c r="DD30" s="28"/>
      <c r="DE30" s="29"/>
      <c r="DF30" s="28"/>
      <c r="DG30" s="25" t="e">
        <f>AVERAGE(DF5:DF14,DF16:DF27)</f>
        <v>#DIV/0!</v>
      </c>
      <c r="DH30" s="28"/>
      <c r="DI30" s="28"/>
      <c r="DJ30" s="25"/>
      <c r="DK30" s="28"/>
      <c r="DL30" s="29"/>
      <c r="DM30" s="28"/>
      <c r="DN30" s="25" t="e">
        <f>AVERAGE(DM5:DM14,DM16:DM27)</f>
        <v>#DIV/0!</v>
      </c>
      <c r="DO30" s="28"/>
      <c r="DP30" s="28"/>
      <c r="DQ30" s="25"/>
      <c r="DR30" s="28"/>
      <c r="DS30" s="29"/>
      <c r="DT30" s="28"/>
      <c r="DU30" s="25" t="e">
        <f>AVERAGE(DT5:DT14,DT16:DT27)</f>
        <v>#DIV/0!</v>
      </c>
      <c r="DV30" s="28"/>
      <c r="DW30" s="28"/>
      <c r="DX30" s="25"/>
      <c r="DY30" s="28"/>
      <c r="DZ30" s="29"/>
      <c r="EA30" s="28"/>
      <c r="EB30" s="25" t="e">
        <f>AVERAGE(EA5:EA14,EA16:EA27)</f>
        <v>#DIV/0!</v>
      </c>
      <c r="EC30" s="28"/>
      <c r="ED30" s="28"/>
      <c r="EE30" s="25"/>
      <c r="EF30" s="28"/>
      <c r="EG30" s="29"/>
      <c r="EH30" s="28"/>
      <c r="EI30" s="25" t="e">
        <f>AVERAGE(EH5:EH14,EH16:EH27)</f>
        <v>#DIV/0!</v>
      </c>
      <c r="EJ30" s="28"/>
      <c r="EK30" s="28"/>
      <c r="EL30" s="25"/>
      <c r="EM30" s="28"/>
      <c r="EN30" s="29"/>
      <c r="EO30" s="28"/>
      <c r="EP30" s="25" t="e">
        <f>AVERAGE(EO5:EO14,EO16:EO27)</f>
        <v>#DIV/0!</v>
      </c>
      <c r="EQ30" s="28"/>
      <c r="ER30" s="28"/>
      <c r="ES30" s="25"/>
      <c r="ET30" s="28"/>
      <c r="EU30" s="29"/>
      <c r="EV30" s="28"/>
      <c r="EW30" s="25" t="e">
        <f>AVERAGE(EV5:EV14,EV16:EV27)</f>
        <v>#DIV/0!</v>
      </c>
      <c r="EX30" s="28"/>
      <c r="EY30" s="28"/>
      <c r="EZ30" s="25"/>
      <c r="FA30" s="28"/>
      <c r="FB30" s="29"/>
      <c r="FC30" s="28"/>
      <c r="FD30" s="25" t="e">
        <f>AVERAGE(FC5:FC14,FC16:FC27)</f>
        <v>#DIV/0!</v>
      </c>
      <c r="FE30" s="28"/>
      <c r="FF30" s="28"/>
      <c r="FG30" s="25"/>
      <c r="FH30" s="28"/>
      <c r="FI30" s="29"/>
      <c r="FJ30" s="28"/>
      <c r="FK30" s="25" t="e">
        <f>AVERAGE(FJ5:FJ14,FJ16:FJ27)</f>
        <v>#DIV/0!</v>
      </c>
      <c r="FL30" s="28"/>
      <c r="FM30" s="28"/>
      <c r="FN30" s="25"/>
      <c r="FO30" s="28"/>
      <c r="FP30" s="29"/>
      <c r="FQ30" s="28"/>
      <c r="FR30" s="25" t="e">
        <f>AVERAGE(FQ5:FQ14,FQ16:FQ27)</f>
        <v>#DIV/0!</v>
      </c>
      <c r="FS30" s="28"/>
      <c r="FT30" s="28"/>
      <c r="FU30" s="25"/>
      <c r="FV30" s="28"/>
      <c r="FW30" s="29"/>
      <c r="FX30" s="28"/>
      <c r="FY30" s="25" t="e">
        <f>AVERAGE(FX5:FX14,FX16:FX27)</f>
        <v>#DIV/0!</v>
      </c>
      <c r="FZ30" s="28"/>
      <c r="GA30" s="28"/>
      <c r="GB30" s="25"/>
      <c r="GC30" s="28"/>
      <c r="GD30" s="29"/>
      <c r="GE30" s="28"/>
      <c r="GF30" s="25" t="e">
        <f>AVERAGE(GE5:GE14,GE16:GE27)</f>
        <v>#DIV/0!</v>
      </c>
      <c r="GG30" s="28"/>
      <c r="GH30" s="28"/>
      <c r="GI30" s="25"/>
      <c r="GJ30" s="28"/>
      <c r="GK30" s="29"/>
      <c r="GL30" s="28"/>
      <c r="GM30" s="25" t="e">
        <f>AVERAGE(GL5:GL14,GL16:GL27)</f>
        <v>#DIV/0!</v>
      </c>
      <c r="GN30" s="28"/>
      <c r="GO30" s="28"/>
      <c r="GP30" s="25"/>
      <c r="GQ30" s="28"/>
      <c r="GR30" s="29"/>
      <c r="GS30" s="28"/>
      <c r="GT30" s="25" t="e">
        <f>AVERAGE(GS5:GS14,GS16:GS27)</f>
        <v>#DIV/0!</v>
      </c>
      <c r="GU30" s="28"/>
      <c r="GV30" s="28"/>
      <c r="GW30" s="25"/>
      <c r="GX30" s="28"/>
      <c r="GY30" s="29"/>
      <c r="GZ30" s="28"/>
      <c r="HA30" s="25" t="e">
        <f>AVERAGE(GZ5:GZ14,GZ16:GZ27)</f>
        <v>#DIV/0!</v>
      </c>
      <c r="HB30" s="28"/>
      <c r="HC30" s="28"/>
      <c r="HD30" s="25"/>
      <c r="HE30" s="28"/>
      <c r="HF30" s="29"/>
      <c r="HG30" s="28"/>
      <c r="HH30" s="25" t="e">
        <f>AVERAGE(HG5:HG14,HG16:HG27)</f>
        <v>#DIV/0!</v>
      </c>
      <c r="HI30" s="28"/>
      <c r="HJ30" s="28"/>
      <c r="HK30" s="25"/>
      <c r="HL30" s="28"/>
      <c r="HM30" s="29"/>
      <c r="HN30" s="28"/>
      <c r="HO30" s="25" t="e">
        <f>AVERAGE(HN5:HN14,HN16:HN27)</f>
        <v>#DIV/0!</v>
      </c>
      <c r="HP30" s="28"/>
      <c r="HQ30" s="28"/>
      <c r="HR30" s="25"/>
      <c r="HS30" s="28"/>
      <c r="HT30" s="29"/>
      <c r="HU30" s="28"/>
      <c r="HV30" s="25" t="e">
        <f>AVERAGE(HU5:HU14,HU16:HU27)</f>
        <v>#DIV/0!</v>
      </c>
      <c r="HW30" s="28"/>
      <c r="HX30" s="28"/>
      <c r="HY30" s="25"/>
      <c r="HZ30" s="28"/>
      <c r="IA30" s="29"/>
      <c r="IB30" s="28"/>
      <c r="IC30" s="25" t="e">
        <f>AVERAGE(IB5:IB14,IB16:IB27)</f>
        <v>#DIV/0!</v>
      </c>
      <c r="ID30" s="28"/>
      <c r="IE30" s="28"/>
      <c r="IF30" s="25"/>
      <c r="IG30" s="28"/>
      <c r="IH30" s="29"/>
      <c r="II30" s="28"/>
      <c r="IJ30" s="25" t="e">
        <f>AVERAGE(II5:II14,II16:II27)</f>
        <v>#DIV/0!</v>
      </c>
      <c r="IK30" s="28"/>
      <c r="IL30" s="28"/>
      <c r="IM30" s="25"/>
      <c r="IN30" s="28"/>
      <c r="IO30" s="29"/>
      <c r="IP30" s="28"/>
      <c r="IQ30" s="25" t="e">
        <f>AVERAGE(IP5:IP14,IP16:IP27)</f>
        <v>#DIV/0!</v>
      </c>
    </row>
    <row r="33" spans="1:3" ht="14.25">
      <c r="A33" s="73" t="s">
        <v>2</v>
      </c>
      <c r="B33" s="73" t="s">
        <v>20</v>
      </c>
      <c r="C33" s="73" t="s">
        <v>21</v>
      </c>
    </row>
    <row r="34" spans="1:3" ht="158.25">
      <c r="A34" s="72">
        <v>1</v>
      </c>
      <c r="B34" s="72" t="s">
        <v>142</v>
      </c>
      <c r="C34" s="72" t="s">
        <v>143</v>
      </c>
    </row>
    <row r="35" spans="1:251" ht="48" customHeight="1">
      <c r="A35" s="111" t="s">
        <v>194</v>
      </c>
      <c r="B35" s="112"/>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1"/>
      <c r="BQ35" s="111"/>
      <c r="BR35" s="111"/>
      <c r="BS35" s="111"/>
      <c r="BT35" s="111"/>
      <c r="BU35" s="111"/>
      <c r="BV35" s="111"/>
      <c r="BW35" s="111"/>
      <c r="BX35" s="111"/>
      <c r="BY35" s="111"/>
      <c r="BZ35" s="111"/>
      <c r="CA35" s="111"/>
      <c r="CB35" s="111"/>
      <c r="CC35" s="111"/>
      <c r="CD35" s="111"/>
      <c r="CE35" s="111"/>
      <c r="CF35" s="111"/>
      <c r="CG35" s="111"/>
      <c r="CH35" s="111"/>
      <c r="CI35" s="111"/>
      <c r="CJ35" s="111"/>
      <c r="CK35" s="111"/>
      <c r="CL35" s="111"/>
      <c r="CM35" s="111"/>
      <c r="CN35" s="111"/>
      <c r="CO35" s="111"/>
      <c r="CP35" s="111"/>
      <c r="CQ35" s="111"/>
      <c r="CR35" s="111"/>
      <c r="CS35" s="111"/>
      <c r="CT35" s="111"/>
      <c r="CU35" s="111"/>
      <c r="CV35" s="111"/>
      <c r="CW35" s="111"/>
      <c r="CX35" s="111"/>
      <c r="CY35" s="111"/>
      <c r="CZ35" s="111"/>
      <c r="DA35" s="111"/>
      <c r="DB35" s="111"/>
      <c r="DC35" s="111"/>
      <c r="DD35" s="111"/>
      <c r="DE35" s="111"/>
      <c r="DF35" s="111"/>
      <c r="DG35" s="111"/>
      <c r="DH35" s="111"/>
      <c r="DI35" s="111"/>
      <c r="DJ35" s="111"/>
      <c r="DK35" s="111"/>
      <c r="DL35" s="111"/>
      <c r="DM35" s="111"/>
      <c r="DN35" s="111"/>
      <c r="DO35" s="111"/>
      <c r="DP35" s="111"/>
      <c r="DQ35" s="111"/>
      <c r="DR35" s="111"/>
      <c r="DS35" s="111"/>
      <c r="DT35" s="111"/>
      <c r="DU35" s="111"/>
      <c r="DV35" s="111"/>
      <c r="DW35" s="111"/>
      <c r="DX35" s="111"/>
      <c r="DY35" s="111"/>
      <c r="DZ35" s="111"/>
      <c r="EA35" s="111"/>
      <c r="EB35" s="111"/>
      <c r="EC35" s="111"/>
      <c r="ED35" s="111"/>
      <c r="EE35" s="111"/>
      <c r="EF35" s="111"/>
      <c r="EG35" s="111"/>
      <c r="EH35" s="111"/>
      <c r="EI35" s="111"/>
      <c r="EJ35" s="111"/>
      <c r="EK35" s="111"/>
      <c r="EL35" s="111"/>
      <c r="EM35" s="111"/>
      <c r="EN35" s="111"/>
      <c r="EO35" s="111"/>
      <c r="EP35" s="111"/>
      <c r="EQ35" s="111"/>
      <c r="ER35" s="111"/>
      <c r="ES35" s="111"/>
      <c r="ET35" s="111"/>
      <c r="EU35" s="111"/>
      <c r="EV35" s="111"/>
      <c r="EW35" s="111"/>
      <c r="EX35" s="111"/>
      <c r="EY35" s="111"/>
      <c r="EZ35" s="111"/>
      <c r="FA35" s="111"/>
      <c r="FB35" s="111"/>
      <c r="FC35" s="111"/>
      <c r="FD35" s="111"/>
      <c r="FE35" s="111"/>
      <c r="FF35" s="111"/>
      <c r="FG35" s="111"/>
      <c r="FH35" s="111"/>
      <c r="FI35" s="111"/>
      <c r="FJ35" s="111"/>
      <c r="FK35" s="111"/>
      <c r="FL35" s="111"/>
      <c r="FM35" s="111"/>
      <c r="FN35" s="111"/>
      <c r="FO35" s="111"/>
      <c r="FP35" s="111"/>
      <c r="FQ35" s="111"/>
      <c r="FR35" s="111"/>
      <c r="FS35" s="111"/>
      <c r="FT35" s="111"/>
      <c r="FU35" s="111"/>
      <c r="FV35" s="111"/>
      <c r="FW35" s="111"/>
      <c r="FX35" s="111"/>
      <c r="FY35" s="111"/>
      <c r="FZ35" s="111"/>
      <c r="GA35" s="111"/>
      <c r="GB35" s="111"/>
      <c r="GC35" s="111"/>
      <c r="GD35" s="111"/>
      <c r="GE35" s="111"/>
      <c r="GF35" s="111"/>
      <c r="GG35" s="111"/>
      <c r="GH35" s="111"/>
      <c r="GI35" s="111"/>
      <c r="GJ35" s="111"/>
      <c r="GK35" s="111"/>
      <c r="GL35" s="111"/>
      <c r="GM35" s="111"/>
      <c r="GN35" s="111"/>
      <c r="GO35" s="111"/>
      <c r="GP35" s="111"/>
      <c r="GQ35" s="111"/>
      <c r="GR35" s="111"/>
      <c r="GS35" s="111"/>
      <c r="GT35" s="111"/>
      <c r="GU35" s="111"/>
      <c r="GV35" s="111"/>
      <c r="GW35" s="111"/>
      <c r="GX35" s="111"/>
      <c r="GY35" s="111"/>
      <c r="GZ35" s="111"/>
      <c r="HA35" s="111"/>
      <c r="HB35" s="111"/>
      <c r="HC35" s="111"/>
      <c r="HD35" s="111"/>
      <c r="HE35" s="111"/>
      <c r="HF35" s="111"/>
      <c r="HG35" s="111"/>
      <c r="HH35" s="111"/>
      <c r="HI35" s="111"/>
      <c r="HJ35" s="111"/>
      <c r="HK35" s="111"/>
      <c r="HL35" s="111"/>
      <c r="HM35" s="111"/>
      <c r="HN35" s="111"/>
      <c r="HO35" s="111"/>
      <c r="HP35" s="111"/>
      <c r="HQ35" s="111"/>
      <c r="HR35" s="111"/>
      <c r="HS35" s="111"/>
      <c r="HT35" s="111"/>
      <c r="HU35" s="111"/>
      <c r="HV35" s="111"/>
      <c r="HW35" s="111"/>
      <c r="HX35" s="111"/>
      <c r="HY35" s="111"/>
      <c r="HZ35" s="111"/>
      <c r="IA35" s="111"/>
      <c r="IB35" s="111"/>
      <c r="IC35" s="111"/>
      <c r="ID35" s="111"/>
      <c r="IE35" s="111"/>
      <c r="IF35" s="111"/>
      <c r="IG35" s="111"/>
      <c r="IH35" s="111"/>
      <c r="II35" s="111"/>
      <c r="IJ35" s="111"/>
      <c r="IK35" s="111"/>
      <c r="IL35" s="111"/>
      <c r="IM35" s="111"/>
      <c r="IN35" s="111"/>
      <c r="IO35" s="111"/>
      <c r="IP35" s="111"/>
      <c r="IQ35" s="111"/>
    </row>
    <row r="36" spans="1:251" ht="57" customHeight="1">
      <c r="A36" s="114" t="s">
        <v>201</v>
      </c>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3"/>
      <c r="BM36" s="113"/>
      <c r="BN36" s="113"/>
      <c r="BO36" s="113"/>
      <c r="BP36" s="113"/>
      <c r="BQ36" s="113"/>
      <c r="BR36" s="113"/>
      <c r="BS36" s="113"/>
      <c r="BT36" s="113"/>
      <c r="BU36" s="113"/>
      <c r="BV36" s="113"/>
      <c r="BW36" s="113"/>
      <c r="BX36" s="113"/>
      <c r="BY36" s="113"/>
      <c r="BZ36" s="113"/>
      <c r="CA36" s="113"/>
      <c r="CB36" s="113"/>
      <c r="CC36" s="113"/>
      <c r="CD36" s="113"/>
      <c r="CE36" s="113"/>
      <c r="CF36" s="113"/>
      <c r="CG36" s="113"/>
      <c r="CH36" s="113"/>
      <c r="CI36" s="113"/>
      <c r="CJ36" s="113"/>
      <c r="CK36" s="113"/>
      <c r="CL36" s="113"/>
      <c r="CM36" s="113"/>
      <c r="CN36" s="113"/>
      <c r="CO36" s="113"/>
      <c r="CP36" s="113"/>
      <c r="CQ36" s="113"/>
      <c r="CR36" s="113"/>
      <c r="CS36" s="113"/>
      <c r="CT36" s="113"/>
      <c r="CU36" s="113"/>
      <c r="CV36" s="113"/>
      <c r="CW36" s="113"/>
      <c r="CX36" s="113"/>
      <c r="CY36" s="113"/>
      <c r="CZ36" s="113"/>
      <c r="DA36" s="113"/>
      <c r="DB36" s="113"/>
      <c r="DC36" s="113"/>
      <c r="DD36" s="113"/>
      <c r="DE36" s="113"/>
      <c r="DF36" s="113"/>
      <c r="DG36" s="113"/>
      <c r="DH36" s="113"/>
      <c r="DI36" s="113"/>
      <c r="DJ36" s="113"/>
      <c r="DK36" s="113"/>
      <c r="DL36" s="113"/>
      <c r="DM36" s="113"/>
      <c r="DN36" s="113"/>
      <c r="DO36" s="113"/>
      <c r="DP36" s="113"/>
      <c r="DQ36" s="113"/>
      <c r="DR36" s="113"/>
      <c r="DS36" s="113"/>
      <c r="DT36" s="113"/>
      <c r="DU36" s="113"/>
      <c r="DV36" s="113"/>
      <c r="DW36" s="113"/>
      <c r="DX36" s="113"/>
      <c r="DY36" s="113"/>
      <c r="DZ36" s="113"/>
      <c r="EA36" s="113"/>
      <c r="EB36" s="113"/>
      <c r="EC36" s="113"/>
      <c r="ED36" s="113"/>
      <c r="EE36" s="113"/>
      <c r="EF36" s="113"/>
      <c r="EG36" s="113"/>
      <c r="EH36" s="113"/>
      <c r="EI36" s="113"/>
      <c r="EJ36" s="113"/>
      <c r="EK36" s="113"/>
      <c r="EL36" s="113"/>
      <c r="EM36" s="113"/>
      <c r="EN36" s="113"/>
      <c r="EO36" s="113"/>
      <c r="EP36" s="113"/>
      <c r="EQ36" s="113"/>
      <c r="ER36" s="113"/>
      <c r="ES36" s="113"/>
      <c r="ET36" s="113"/>
      <c r="EU36" s="113"/>
      <c r="EV36" s="113"/>
      <c r="EW36" s="113"/>
      <c r="EX36" s="113"/>
      <c r="EY36" s="113"/>
      <c r="EZ36" s="113"/>
      <c r="FA36" s="113"/>
      <c r="FB36" s="113"/>
      <c r="FC36" s="113"/>
      <c r="FD36" s="113"/>
      <c r="FE36" s="113"/>
      <c r="FF36" s="113"/>
      <c r="FG36" s="113"/>
      <c r="FH36" s="113"/>
      <c r="FI36" s="113"/>
      <c r="FJ36" s="113"/>
      <c r="FK36" s="113"/>
      <c r="FL36" s="113"/>
      <c r="FM36" s="113"/>
      <c r="FN36" s="113"/>
      <c r="FO36" s="113"/>
      <c r="FP36" s="113"/>
      <c r="FQ36" s="113"/>
      <c r="FR36" s="113"/>
      <c r="FS36" s="113"/>
      <c r="FT36" s="113"/>
      <c r="FU36" s="113"/>
      <c r="FV36" s="113"/>
      <c r="FW36" s="113"/>
      <c r="FX36" s="113"/>
      <c r="FY36" s="113"/>
      <c r="FZ36" s="113"/>
      <c r="GA36" s="113"/>
      <c r="GB36" s="113"/>
      <c r="GC36" s="113"/>
      <c r="GD36" s="113"/>
      <c r="GE36" s="113"/>
      <c r="GF36" s="113"/>
      <c r="GG36" s="113"/>
      <c r="GH36" s="113"/>
      <c r="GI36" s="113"/>
      <c r="GJ36" s="113"/>
      <c r="GK36" s="113"/>
      <c r="GL36" s="113"/>
      <c r="GM36" s="113"/>
      <c r="GN36" s="113"/>
      <c r="GO36" s="113"/>
      <c r="GP36" s="113"/>
      <c r="GQ36" s="113"/>
      <c r="GR36" s="113"/>
      <c r="GS36" s="113"/>
      <c r="GT36" s="113"/>
      <c r="GU36" s="113"/>
      <c r="GV36" s="113"/>
      <c r="GW36" s="113"/>
      <c r="GX36" s="113"/>
      <c r="GY36" s="113"/>
      <c r="GZ36" s="113"/>
      <c r="HA36" s="113"/>
      <c r="HB36" s="113"/>
      <c r="HC36" s="113"/>
      <c r="HD36" s="113"/>
      <c r="HE36" s="113"/>
      <c r="HF36" s="113"/>
      <c r="HG36" s="113"/>
      <c r="HH36" s="113"/>
      <c r="HI36" s="113"/>
      <c r="HJ36" s="113"/>
      <c r="HK36" s="113"/>
      <c r="HL36" s="113"/>
      <c r="HM36" s="113"/>
      <c r="HN36" s="113"/>
      <c r="HO36" s="113"/>
      <c r="HP36" s="113"/>
      <c r="HQ36" s="113"/>
      <c r="HR36" s="113"/>
      <c r="HS36" s="113"/>
      <c r="HT36" s="113"/>
      <c r="HU36" s="113"/>
      <c r="HV36" s="113"/>
      <c r="HW36" s="113"/>
      <c r="HX36" s="113"/>
      <c r="HY36" s="113"/>
      <c r="HZ36" s="113"/>
      <c r="IA36" s="113"/>
      <c r="IB36" s="113"/>
      <c r="IC36" s="113"/>
      <c r="ID36" s="113"/>
      <c r="IE36" s="113"/>
      <c r="IF36" s="113"/>
      <c r="IG36" s="113"/>
      <c r="IH36" s="113"/>
      <c r="II36" s="113"/>
      <c r="IJ36" s="113"/>
      <c r="IK36" s="113"/>
      <c r="IL36" s="113"/>
      <c r="IM36" s="113"/>
      <c r="IN36" s="113"/>
      <c r="IO36" s="113"/>
      <c r="IP36" s="113"/>
      <c r="IQ36" s="113"/>
    </row>
    <row r="37" spans="1:251" ht="32.25" customHeight="1">
      <c r="A37" s="114" t="s">
        <v>199</v>
      </c>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3"/>
      <c r="BR37" s="113"/>
      <c r="BS37" s="113"/>
      <c r="BT37" s="113"/>
      <c r="BU37" s="113"/>
      <c r="BV37" s="113"/>
      <c r="BW37" s="113"/>
      <c r="BX37" s="113"/>
      <c r="BY37" s="113"/>
      <c r="BZ37" s="113"/>
      <c r="CA37" s="113"/>
      <c r="CB37" s="113"/>
      <c r="CC37" s="113"/>
      <c r="CD37" s="113"/>
      <c r="CE37" s="113"/>
      <c r="CF37" s="113"/>
      <c r="CG37" s="113"/>
      <c r="CH37" s="113"/>
      <c r="CI37" s="113"/>
      <c r="CJ37" s="113"/>
      <c r="CK37" s="113"/>
      <c r="CL37" s="113"/>
      <c r="CM37" s="113"/>
      <c r="CN37" s="113"/>
      <c r="CO37" s="113"/>
      <c r="CP37" s="113"/>
      <c r="CQ37" s="113"/>
      <c r="CR37" s="113"/>
      <c r="CS37" s="113"/>
      <c r="CT37" s="113"/>
      <c r="CU37" s="113"/>
      <c r="CV37" s="113"/>
      <c r="CW37" s="113"/>
      <c r="CX37" s="113"/>
      <c r="CY37" s="113"/>
      <c r="CZ37" s="113"/>
      <c r="DA37" s="113"/>
      <c r="DB37" s="113"/>
      <c r="DC37" s="113"/>
      <c r="DD37" s="113"/>
      <c r="DE37" s="113"/>
      <c r="DF37" s="113"/>
      <c r="DG37" s="113"/>
      <c r="DH37" s="113"/>
      <c r="DI37" s="113"/>
      <c r="DJ37" s="113"/>
      <c r="DK37" s="113"/>
      <c r="DL37" s="113"/>
      <c r="DM37" s="113"/>
      <c r="DN37" s="113"/>
      <c r="DO37" s="113"/>
      <c r="DP37" s="113"/>
      <c r="DQ37" s="113"/>
      <c r="DR37" s="113"/>
      <c r="DS37" s="113"/>
      <c r="DT37" s="113"/>
      <c r="DU37" s="113"/>
      <c r="DV37" s="113"/>
      <c r="DW37" s="113"/>
      <c r="DX37" s="113"/>
      <c r="DY37" s="113"/>
      <c r="DZ37" s="113"/>
      <c r="EA37" s="113"/>
      <c r="EB37" s="113"/>
      <c r="EC37" s="113"/>
      <c r="ED37" s="113"/>
      <c r="EE37" s="113"/>
      <c r="EF37" s="113"/>
      <c r="EG37" s="113"/>
      <c r="EH37" s="113"/>
      <c r="EI37" s="113"/>
      <c r="EJ37" s="113"/>
      <c r="EK37" s="113"/>
      <c r="EL37" s="113"/>
      <c r="EM37" s="113"/>
      <c r="EN37" s="113"/>
      <c r="EO37" s="113"/>
      <c r="EP37" s="113"/>
      <c r="EQ37" s="113"/>
      <c r="ER37" s="113"/>
      <c r="ES37" s="113"/>
      <c r="ET37" s="113"/>
      <c r="EU37" s="113"/>
      <c r="EV37" s="113"/>
      <c r="EW37" s="113"/>
      <c r="EX37" s="113"/>
      <c r="EY37" s="113"/>
      <c r="EZ37" s="113"/>
      <c r="FA37" s="113"/>
      <c r="FB37" s="113"/>
      <c r="FC37" s="113"/>
      <c r="FD37" s="113"/>
      <c r="FE37" s="113"/>
      <c r="FF37" s="113"/>
      <c r="FG37" s="113"/>
      <c r="FH37" s="113"/>
      <c r="FI37" s="113"/>
      <c r="FJ37" s="113"/>
      <c r="FK37" s="113"/>
      <c r="FL37" s="113"/>
      <c r="FM37" s="113"/>
      <c r="FN37" s="113"/>
      <c r="FO37" s="113"/>
      <c r="FP37" s="113"/>
      <c r="FQ37" s="113"/>
      <c r="FR37" s="113"/>
      <c r="FS37" s="113"/>
      <c r="FT37" s="113"/>
      <c r="FU37" s="113"/>
      <c r="FV37" s="113"/>
      <c r="FW37" s="113"/>
      <c r="FX37" s="113"/>
      <c r="FY37" s="113"/>
      <c r="FZ37" s="113"/>
      <c r="GA37" s="113"/>
      <c r="GB37" s="113"/>
      <c r="GC37" s="113"/>
      <c r="GD37" s="113"/>
      <c r="GE37" s="113"/>
      <c r="GF37" s="113"/>
      <c r="GG37" s="113"/>
      <c r="GH37" s="113"/>
      <c r="GI37" s="113"/>
      <c r="GJ37" s="113"/>
      <c r="GK37" s="113"/>
      <c r="GL37" s="113"/>
      <c r="GM37" s="113"/>
      <c r="GN37" s="113"/>
      <c r="GO37" s="113"/>
      <c r="GP37" s="113"/>
      <c r="GQ37" s="113"/>
      <c r="GR37" s="113"/>
      <c r="GS37" s="113"/>
      <c r="GT37" s="113"/>
      <c r="GU37" s="113"/>
      <c r="GV37" s="113"/>
      <c r="GW37" s="113"/>
      <c r="GX37" s="113"/>
      <c r="GY37" s="113"/>
      <c r="GZ37" s="113"/>
      <c r="HA37" s="113"/>
      <c r="HB37" s="113"/>
      <c r="HC37" s="113"/>
      <c r="HD37" s="113"/>
      <c r="HE37" s="113"/>
      <c r="HF37" s="113"/>
      <c r="HG37" s="113"/>
      <c r="HH37" s="113"/>
      <c r="HI37" s="113"/>
      <c r="HJ37" s="113"/>
      <c r="HK37" s="113"/>
      <c r="HL37" s="113"/>
      <c r="HM37" s="113"/>
      <c r="HN37" s="113"/>
      <c r="HO37" s="113"/>
      <c r="HP37" s="113"/>
      <c r="HQ37" s="113"/>
      <c r="HR37" s="113"/>
      <c r="HS37" s="113"/>
      <c r="HT37" s="113"/>
      <c r="HU37" s="113"/>
      <c r="HV37" s="113"/>
      <c r="HW37" s="113"/>
      <c r="HX37" s="113"/>
      <c r="HY37" s="113"/>
      <c r="HZ37" s="113"/>
      <c r="IA37" s="113"/>
      <c r="IB37" s="113"/>
      <c r="IC37" s="113"/>
      <c r="ID37" s="113"/>
      <c r="IE37" s="113"/>
      <c r="IF37" s="113"/>
      <c r="IG37" s="113"/>
      <c r="IH37" s="113"/>
      <c r="II37" s="113"/>
      <c r="IJ37" s="113"/>
      <c r="IK37" s="113"/>
      <c r="IL37" s="113"/>
      <c r="IM37" s="113"/>
      <c r="IN37" s="113"/>
      <c r="IO37" s="113"/>
      <c r="IP37" s="113"/>
      <c r="IQ37" s="113"/>
    </row>
    <row r="38" spans="1:251" ht="71.25" customHeight="1">
      <c r="A38" s="114" t="s">
        <v>200</v>
      </c>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c r="BM38" s="113"/>
      <c r="BN38" s="113"/>
      <c r="BO38" s="113"/>
      <c r="BP38" s="113"/>
      <c r="BQ38" s="113"/>
      <c r="BR38" s="113"/>
      <c r="BS38" s="113"/>
      <c r="BT38" s="113"/>
      <c r="BU38" s="113"/>
      <c r="BV38" s="113"/>
      <c r="BW38" s="113"/>
      <c r="BX38" s="113"/>
      <c r="BY38" s="113"/>
      <c r="BZ38" s="113"/>
      <c r="CA38" s="113"/>
      <c r="CB38" s="113"/>
      <c r="CC38" s="113"/>
      <c r="CD38" s="113"/>
      <c r="CE38" s="113"/>
      <c r="CF38" s="113"/>
      <c r="CG38" s="113"/>
      <c r="CH38" s="113"/>
      <c r="CI38" s="113"/>
      <c r="CJ38" s="113"/>
      <c r="CK38" s="113"/>
      <c r="CL38" s="113"/>
      <c r="CM38" s="113"/>
      <c r="CN38" s="113"/>
      <c r="CO38" s="113"/>
      <c r="CP38" s="113"/>
      <c r="CQ38" s="113"/>
      <c r="CR38" s="113"/>
      <c r="CS38" s="113"/>
      <c r="CT38" s="113"/>
      <c r="CU38" s="113"/>
      <c r="CV38" s="113"/>
      <c r="CW38" s="113"/>
      <c r="CX38" s="113"/>
      <c r="CY38" s="113"/>
      <c r="CZ38" s="113"/>
      <c r="DA38" s="113"/>
      <c r="DB38" s="113"/>
      <c r="DC38" s="113"/>
      <c r="DD38" s="113"/>
      <c r="DE38" s="113"/>
      <c r="DF38" s="113"/>
      <c r="DG38" s="113"/>
      <c r="DH38" s="113"/>
      <c r="DI38" s="113"/>
      <c r="DJ38" s="113"/>
      <c r="DK38" s="113"/>
      <c r="DL38" s="113"/>
      <c r="DM38" s="113"/>
      <c r="DN38" s="113"/>
      <c r="DO38" s="113"/>
      <c r="DP38" s="113"/>
      <c r="DQ38" s="113"/>
      <c r="DR38" s="113"/>
      <c r="DS38" s="113"/>
      <c r="DT38" s="113"/>
      <c r="DU38" s="113"/>
      <c r="DV38" s="113"/>
      <c r="DW38" s="113"/>
      <c r="DX38" s="113"/>
      <c r="DY38" s="113"/>
      <c r="DZ38" s="113"/>
      <c r="EA38" s="113"/>
      <c r="EB38" s="113"/>
      <c r="EC38" s="113"/>
      <c r="ED38" s="113"/>
      <c r="EE38" s="113"/>
      <c r="EF38" s="113"/>
      <c r="EG38" s="113"/>
      <c r="EH38" s="113"/>
      <c r="EI38" s="113"/>
      <c r="EJ38" s="113"/>
      <c r="EK38" s="113"/>
      <c r="EL38" s="113"/>
      <c r="EM38" s="113"/>
      <c r="EN38" s="113"/>
      <c r="EO38" s="113"/>
      <c r="EP38" s="113"/>
      <c r="EQ38" s="113"/>
      <c r="ER38" s="113"/>
      <c r="ES38" s="113"/>
      <c r="ET38" s="113"/>
      <c r="EU38" s="113"/>
      <c r="EV38" s="113"/>
      <c r="EW38" s="113"/>
      <c r="EX38" s="113"/>
      <c r="EY38" s="113"/>
      <c r="EZ38" s="113"/>
      <c r="FA38" s="113"/>
      <c r="FB38" s="113"/>
      <c r="FC38" s="113"/>
      <c r="FD38" s="113"/>
      <c r="FE38" s="113"/>
      <c r="FF38" s="113"/>
      <c r="FG38" s="113"/>
      <c r="FH38" s="113"/>
      <c r="FI38" s="113"/>
      <c r="FJ38" s="113"/>
      <c r="FK38" s="113"/>
      <c r="FL38" s="113"/>
      <c r="FM38" s="113"/>
      <c r="FN38" s="113"/>
      <c r="FO38" s="113"/>
      <c r="FP38" s="113"/>
      <c r="FQ38" s="113"/>
      <c r="FR38" s="113"/>
      <c r="FS38" s="113"/>
      <c r="FT38" s="113"/>
      <c r="FU38" s="113"/>
      <c r="FV38" s="113"/>
      <c r="FW38" s="113"/>
      <c r="FX38" s="113"/>
      <c r="FY38" s="113"/>
      <c r="FZ38" s="113"/>
      <c r="GA38" s="113"/>
      <c r="GB38" s="113"/>
      <c r="GC38" s="113"/>
      <c r="GD38" s="113"/>
      <c r="GE38" s="113"/>
      <c r="GF38" s="113"/>
      <c r="GG38" s="113"/>
      <c r="GH38" s="113"/>
      <c r="GI38" s="113"/>
      <c r="GJ38" s="113"/>
      <c r="GK38" s="113"/>
      <c r="GL38" s="113"/>
      <c r="GM38" s="113"/>
      <c r="GN38" s="113"/>
      <c r="GO38" s="113"/>
      <c r="GP38" s="113"/>
      <c r="GQ38" s="113"/>
      <c r="GR38" s="113"/>
      <c r="GS38" s="113"/>
      <c r="GT38" s="113"/>
      <c r="GU38" s="113"/>
      <c r="GV38" s="113"/>
      <c r="GW38" s="113"/>
      <c r="GX38" s="113"/>
      <c r="GY38" s="113"/>
      <c r="GZ38" s="113"/>
      <c r="HA38" s="113"/>
      <c r="HB38" s="113"/>
      <c r="HC38" s="113"/>
      <c r="HD38" s="113"/>
      <c r="HE38" s="113"/>
      <c r="HF38" s="113"/>
      <c r="HG38" s="113"/>
      <c r="HH38" s="113"/>
      <c r="HI38" s="113"/>
      <c r="HJ38" s="113"/>
      <c r="HK38" s="113"/>
      <c r="HL38" s="113"/>
      <c r="HM38" s="113"/>
      <c r="HN38" s="113"/>
      <c r="HO38" s="113"/>
      <c r="HP38" s="113"/>
      <c r="HQ38" s="113"/>
      <c r="HR38" s="113"/>
      <c r="HS38" s="113"/>
      <c r="HT38" s="113"/>
      <c r="HU38" s="113"/>
      <c r="HV38" s="113"/>
      <c r="HW38" s="113"/>
      <c r="HX38" s="113"/>
      <c r="HY38" s="113"/>
      <c r="HZ38" s="113"/>
      <c r="IA38" s="113"/>
      <c r="IB38" s="113"/>
      <c r="IC38" s="113"/>
      <c r="ID38" s="113"/>
      <c r="IE38" s="113"/>
      <c r="IF38" s="113"/>
      <c r="IG38" s="113"/>
      <c r="IH38" s="113"/>
      <c r="II38" s="113"/>
      <c r="IJ38" s="113"/>
      <c r="IK38" s="113"/>
      <c r="IL38" s="113"/>
      <c r="IM38" s="113"/>
      <c r="IN38" s="113"/>
      <c r="IO38" s="113"/>
      <c r="IP38" s="113"/>
      <c r="IQ38" s="113"/>
    </row>
    <row r="39" ht="14.25">
      <c r="A39" s="97"/>
    </row>
  </sheetData>
  <sheetProtection/>
  <mergeCells count="70">
    <mergeCell ref="BK1:BQ1"/>
    <mergeCell ref="BR1:BX1"/>
    <mergeCell ref="G1:M1"/>
    <mergeCell ref="G2:M2"/>
    <mergeCell ref="N1:T1"/>
    <mergeCell ref="N2:T2"/>
    <mergeCell ref="U1:AA1"/>
    <mergeCell ref="U2:AA2"/>
    <mergeCell ref="AB1:AH1"/>
    <mergeCell ref="AB2:AH2"/>
    <mergeCell ref="AI1:AO1"/>
    <mergeCell ref="AP1:AV1"/>
    <mergeCell ref="AI2:AO2"/>
    <mergeCell ref="AP2:AV2"/>
    <mergeCell ref="DV2:EB2"/>
    <mergeCell ref="EC2:EI2"/>
    <mergeCell ref="CM1:CS1"/>
    <mergeCell ref="CT1:CZ1"/>
    <mergeCell ref="DH2:DN2"/>
    <mergeCell ref="DO2:DU2"/>
    <mergeCell ref="EJ2:EP2"/>
    <mergeCell ref="AW2:BC2"/>
    <mergeCell ref="BD2:BJ2"/>
    <mergeCell ref="BK2:BQ2"/>
    <mergeCell ref="BR2:BX2"/>
    <mergeCell ref="BY2:CE2"/>
    <mergeCell ref="CF2:CL2"/>
    <mergeCell ref="CM2:CS2"/>
    <mergeCell ref="CT2:CZ2"/>
    <mergeCell ref="DA2:DG2"/>
    <mergeCell ref="EC1:EI1"/>
    <mergeCell ref="EJ1:EP1"/>
    <mergeCell ref="DH1:DN1"/>
    <mergeCell ref="DO1:DU1"/>
    <mergeCell ref="DV1:EB1"/>
    <mergeCell ref="AW1:BC1"/>
    <mergeCell ref="BD1:BJ1"/>
    <mergeCell ref="DA1:DG1"/>
    <mergeCell ref="BY1:CE1"/>
    <mergeCell ref="CF1:CL1"/>
    <mergeCell ref="EQ1:EW1"/>
    <mergeCell ref="EX1:FD1"/>
    <mergeCell ref="FE1:FK1"/>
    <mergeCell ref="FL1:FR1"/>
    <mergeCell ref="FS1:FY1"/>
    <mergeCell ref="EQ2:EW2"/>
    <mergeCell ref="EX2:FD2"/>
    <mergeCell ref="FE2:FK2"/>
    <mergeCell ref="FL2:FR2"/>
    <mergeCell ref="FS2:FY2"/>
    <mergeCell ref="FZ1:GF1"/>
    <mergeCell ref="GG1:GM1"/>
    <mergeCell ref="GN1:GT1"/>
    <mergeCell ref="GU1:HA1"/>
    <mergeCell ref="HB1:HH1"/>
    <mergeCell ref="FZ2:GF2"/>
    <mergeCell ref="GG2:GM2"/>
    <mergeCell ref="GN2:GT2"/>
    <mergeCell ref="GU2:HA2"/>
    <mergeCell ref="HB2:HH2"/>
    <mergeCell ref="HI1:HO1"/>
    <mergeCell ref="HP1:HV1"/>
    <mergeCell ref="HW1:IC1"/>
    <mergeCell ref="ID1:IJ1"/>
    <mergeCell ref="IK1:IQ1"/>
    <mergeCell ref="HI2:HO2"/>
    <mergeCell ref="HP2:HV2"/>
    <mergeCell ref="HW2:IC2"/>
    <mergeCell ref="ID2:IJ2"/>
    <mergeCell ref="IK2:IQ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00B050"/>
  </sheetPr>
  <dimension ref="A1:W51"/>
  <sheetViews>
    <sheetView zoomScale="70" zoomScaleNormal="70" zoomScalePageLayoutView="0" workbookViewId="0" topLeftCell="A1">
      <selection activeCell="E1" sqref="E1"/>
    </sheetView>
  </sheetViews>
  <sheetFormatPr defaultColWidth="9.140625" defaultRowHeight="15"/>
  <cols>
    <col min="1" max="1" width="22.28125" style="11" customWidth="1"/>
    <col min="2" max="2" width="25.57421875" style="0" customWidth="1"/>
    <col min="3" max="3" width="18.57421875" style="0" customWidth="1"/>
    <col min="4" max="4" width="23.28125" style="0" customWidth="1"/>
    <col min="5" max="5" width="19.00390625" style="0" customWidth="1"/>
    <col min="6" max="6" width="14.421875" style="0" customWidth="1"/>
    <col min="7" max="7" width="19.57421875" style="0" customWidth="1"/>
    <col min="8" max="8" width="22.421875" style="0" customWidth="1"/>
    <col min="9" max="9" width="19.140625" style="0" customWidth="1"/>
    <col min="10" max="10" width="30.7109375" style="0" customWidth="1"/>
    <col min="11" max="11" width="19.140625" style="0" customWidth="1"/>
    <col min="12" max="12" width="60.8515625" style="0" customWidth="1"/>
    <col min="13" max="13" width="49.140625" style="0" customWidth="1"/>
    <col min="23" max="23" width="12.8515625" style="0" customWidth="1"/>
  </cols>
  <sheetData>
    <row r="1" spans="1:23" s="54" customFormat="1" ht="36" thickBot="1">
      <c r="A1" s="41" t="s">
        <v>148</v>
      </c>
      <c r="B1" s="41" t="s">
        <v>149</v>
      </c>
      <c r="C1" s="53" t="s">
        <v>150</v>
      </c>
      <c r="D1" s="41" t="s">
        <v>151</v>
      </c>
      <c r="E1" s="41" t="s">
        <v>29</v>
      </c>
      <c r="F1" s="41" t="s">
        <v>152</v>
      </c>
      <c r="G1" s="53" t="s">
        <v>153</v>
      </c>
      <c r="H1" s="53" t="s">
        <v>154</v>
      </c>
      <c r="I1" s="53" t="s">
        <v>155</v>
      </c>
      <c r="J1" s="41"/>
      <c r="K1" s="39" t="s">
        <v>34</v>
      </c>
      <c r="L1" s="40" t="s">
        <v>35</v>
      </c>
      <c r="V1" s="55">
        <v>1.5</v>
      </c>
      <c r="W1" s="56" t="s">
        <v>30</v>
      </c>
    </row>
    <row r="2" spans="1:23" ht="18">
      <c r="A2" s="11">
        <v>1</v>
      </c>
      <c r="B2" s="13">
        <f>Species!B2</f>
        <v>0</v>
      </c>
      <c r="C2" s="42">
        <f>Productivity1</f>
        <v>0</v>
      </c>
      <c r="D2" s="42">
        <f>Susceptibility1</f>
        <v>0</v>
      </c>
      <c r="E2" s="42">
        <f>Vulnerability1</f>
        <v>3.1622776601683795</v>
      </c>
      <c r="F2" t="str">
        <f>IF((E2&lt;=1.8),"Low",(IF((E2&lt;=2),"Moderate",(IF((E2&lt;=2.2),"High",IF((E2&gt;=2.2),"Very High"))))))</f>
        <v>Very High</v>
      </c>
      <c r="G2" t="e">
        <f>Data1</f>
        <v>#DIV/0!</v>
      </c>
      <c r="H2" t="e">
        <f>Pdata1</f>
        <v>#DIV/0!</v>
      </c>
      <c r="I2" s="20" t="e">
        <f>Sdata1</f>
        <v>#DIV/0!</v>
      </c>
      <c r="J2" s="20"/>
      <c r="K2" s="31" t="s">
        <v>36</v>
      </c>
      <c r="L2" s="32" t="s">
        <v>195</v>
      </c>
      <c r="V2" s="21">
        <v>1.2</v>
      </c>
      <c r="W2" s="22" t="s">
        <v>31</v>
      </c>
    </row>
    <row r="3" spans="1:23" ht="18" thickBot="1">
      <c r="A3" s="11">
        <v>2</v>
      </c>
      <c r="B3" s="13">
        <f>Species!B3</f>
        <v>0</v>
      </c>
      <c r="C3" s="42">
        <f>Productivity2</f>
        <v>0</v>
      </c>
      <c r="D3" s="42">
        <f>Susceptibility2</f>
        <v>0</v>
      </c>
      <c r="E3" s="42">
        <f>Vulnerability2</f>
        <v>3.1622776601683795</v>
      </c>
      <c r="F3" s="70" t="str">
        <f aca="true" t="shared" si="0" ref="F3:F51">IF((E3&lt;=1.8),"Low",(IF((E3&lt;=2),"Moderate",(IF((E3&lt;=2.2),"High",IF((E3&gt;=2.2),"Very High"))))))</f>
        <v>Very High</v>
      </c>
      <c r="G3" t="e">
        <f>Data2</f>
        <v>#DIV/0!</v>
      </c>
      <c r="H3" t="e">
        <f>Pdata2</f>
        <v>#DIV/0!</v>
      </c>
      <c r="I3" s="20" t="e">
        <f>Sdata2</f>
        <v>#DIV/0!</v>
      </c>
      <c r="K3" s="33" t="s">
        <v>38</v>
      </c>
      <c r="L3" s="34" t="s">
        <v>197</v>
      </c>
      <c r="V3" s="23">
        <v>1</v>
      </c>
      <c r="W3" s="24" t="s">
        <v>32</v>
      </c>
    </row>
    <row r="4" spans="1:12" ht="18">
      <c r="A4" s="11">
        <v>3</v>
      </c>
      <c r="B4" s="13">
        <f>Species!B4</f>
        <v>0</v>
      </c>
      <c r="C4" s="42">
        <f>Productivity3</f>
        <v>0</v>
      </c>
      <c r="D4" s="42">
        <f>Susceptibility3</f>
        <v>0</v>
      </c>
      <c r="E4" s="42">
        <f>Vulnerability3</f>
        <v>3.1622776601683795</v>
      </c>
      <c r="F4" s="70" t="str">
        <f t="shared" si="0"/>
        <v>Very High</v>
      </c>
      <c r="G4" t="e">
        <f>Data3</f>
        <v>#DIV/0!</v>
      </c>
      <c r="H4" t="e">
        <f>Pdata3</f>
        <v>#DIV/0!</v>
      </c>
      <c r="I4" s="20" t="e">
        <f>Sdata3</f>
        <v>#DIV/0!</v>
      </c>
      <c r="K4" s="35" t="s">
        <v>37</v>
      </c>
      <c r="L4" s="36" t="s">
        <v>198</v>
      </c>
    </row>
    <row r="5" spans="1:12" ht="18" thickBot="1">
      <c r="A5" s="11">
        <v>4</v>
      </c>
      <c r="B5" s="13">
        <f>Species!B5</f>
        <v>0</v>
      </c>
      <c r="C5" s="42">
        <f>Productivity4</f>
        <v>0</v>
      </c>
      <c r="D5" s="42">
        <f>Susceptibility4</f>
        <v>0</v>
      </c>
      <c r="E5" s="42">
        <f>Vulnerability4</f>
        <v>3.1622776601683795</v>
      </c>
      <c r="F5" s="70" t="str">
        <f t="shared" si="0"/>
        <v>Very High</v>
      </c>
      <c r="G5" t="e">
        <f>Data4</f>
        <v>#DIV/0!</v>
      </c>
      <c r="H5" t="e">
        <f>Pdata4</f>
        <v>#DIV/0!</v>
      </c>
      <c r="I5" s="20" t="e">
        <f>Sdata4</f>
        <v>#DIV/0!</v>
      </c>
      <c r="K5" s="37" t="s">
        <v>33</v>
      </c>
      <c r="L5" s="38" t="s">
        <v>196</v>
      </c>
    </row>
    <row r="6" spans="1:9" ht="18">
      <c r="A6" s="11">
        <v>5</v>
      </c>
      <c r="B6" s="13">
        <f>Species!B6</f>
        <v>0</v>
      </c>
      <c r="C6" s="42">
        <f>Productivity5</f>
        <v>0</v>
      </c>
      <c r="D6" s="42">
        <f>Susceptibility5</f>
        <v>0</v>
      </c>
      <c r="E6" s="42">
        <f>Vulnerability5</f>
        <v>3.1622776601683795</v>
      </c>
      <c r="F6" s="70" t="str">
        <f t="shared" si="0"/>
        <v>Very High</v>
      </c>
      <c r="G6" t="e">
        <f>Data5</f>
        <v>#DIV/0!</v>
      </c>
      <c r="H6" t="e">
        <f>Pdata5</f>
        <v>#DIV/0!</v>
      </c>
      <c r="I6" s="20" t="e">
        <f>Sdata5</f>
        <v>#DIV/0!</v>
      </c>
    </row>
    <row r="7" spans="1:9" ht="18">
      <c r="A7" s="11">
        <v>6</v>
      </c>
      <c r="B7" s="13">
        <f>Species!B7</f>
        <v>0</v>
      </c>
      <c r="C7" s="42">
        <f>Productivity6</f>
        <v>0</v>
      </c>
      <c r="D7" s="42">
        <f>Susceptibility6</f>
        <v>0</v>
      </c>
      <c r="E7" s="42">
        <f>Vulnerability6</f>
        <v>3.1622776601683795</v>
      </c>
      <c r="F7" s="70" t="str">
        <f t="shared" si="0"/>
        <v>Very High</v>
      </c>
      <c r="G7" t="e">
        <f>Data6</f>
        <v>#DIV/0!</v>
      </c>
      <c r="H7" t="e">
        <f>Pdata6</f>
        <v>#DIV/0!</v>
      </c>
      <c r="I7" s="20" t="e">
        <f>Sdata6</f>
        <v>#DIV/0!</v>
      </c>
    </row>
    <row r="8" spans="1:9" ht="18">
      <c r="A8" s="11">
        <v>7</v>
      </c>
      <c r="B8" s="13">
        <f>Species!B8</f>
        <v>0</v>
      </c>
      <c r="C8" s="42">
        <f>Productivity7</f>
        <v>0</v>
      </c>
      <c r="D8" s="42">
        <f>Susceptibility7</f>
        <v>0</v>
      </c>
      <c r="E8" s="42">
        <f>Vulnerability7</f>
        <v>3.1622776601683795</v>
      </c>
      <c r="F8" s="70" t="str">
        <f t="shared" si="0"/>
        <v>Very High</v>
      </c>
      <c r="G8" t="e">
        <f>Data7</f>
        <v>#DIV/0!</v>
      </c>
      <c r="H8" t="e">
        <f>Pdata7</f>
        <v>#DIV/0!</v>
      </c>
      <c r="I8" s="20" t="e">
        <f>Sdata7</f>
        <v>#DIV/0!</v>
      </c>
    </row>
    <row r="9" spans="1:9" ht="18">
      <c r="A9" s="11">
        <v>8</v>
      </c>
      <c r="B9" s="13">
        <f>Species!B9</f>
        <v>0</v>
      </c>
      <c r="C9" s="42">
        <f>Productivity8</f>
        <v>0</v>
      </c>
      <c r="D9" s="42">
        <f>Susceptibility8</f>
        <v>0</v>
      </c>
      <c r="E9" s="42">
        <f>Vulnerability8</f>
        <v>3.1622776601683795</v>
      </c>
      <c r="F9" s="70" t="str">
        <f t="shared" si="0"/>
        <v>Very High</v>
      </c>
      <c r="G9" t="e">
        <f>Data8</f>
        <v>#DIV/0!</v>
      </c>
      <c r="H9" t="e">
        <f>Pdata8</f>
        <v>#DIV/0!</v>
      </c>
      <c r="I9" s="20" t="e">
        <f>Sdata8</f>
        <v>#DIV/0!</v>
      </c>
    </row>
    <row r="10" spans="1:9" ht="18">
      <c r="A10" s="11">
        <v>9</v>
      </c>
      <c r="B10" s="13">
        <f>Species!B10</f>
        <v>0</v>
      </c>
      <c r="C10" s="42">
        <f>Productivity9</f>
        <v>0</v>
      </c>
      <c r="D10" s="42">
        <f>Susceptibility9</f>
        <v>0</v>
      </c>
      <c r="E10" s="42">
        <f>Vulnerability9</f>
        <v>3.1622776601683795</v>
      </c>
      <c r="F10" s="70" t="str">
        <f t="shared" si="0"/>
        <v>Very High</v>
      </c>
      <c r="G10" t="e">
        <f>Data9</f>
        <v>#DIV/0!</v>
      </c>
      <c r="H10" t="e">
        <f>Pdata9</f>
        <v>#DIV/0!</v>
      </c>
      <c r="I10" s="20" t="e">
        <f>Sdata9</f>
        <v>#DIV/0!</v>
      </c>
    </row>
    <row r="11" spans="1:9" ht="18">
      <c r="A11" s="11">
        <v>10</v>
      </c>
      <c r="B11" s="13">
        <f>Species!B11</f>
        <v>0</v>
      </c>
      <c r="C11" s="42">
        <f>Productivity10</f>
        <v>0</v>
      </c>
      <c r="D11" s="42">
        <f>Susceptibility10</f>
        <v>0</v>
      </c>
      <c r="E11" s="42">
        <f>Vulnerability10</f>
        <v>3.1622776601683795</v>
      </c>
      <c r="F11" s="70" t="str">
        <f t="shared" si="0"/>
        <v>Very High</v>
      </c>
      <c r="G11" t="e">
        <f>Data10</f>
        <v>#DIV/0!</v>
      </c>
      <c r="H11" t="e">
        <f>Pdata10</f>
        <v>#DIV/0!</v>
      </c>
      <c r="I11" s="20" t="e">
        <f>Sdata10</f>
        <v>#DIV/0!</v>
      </c>
    </row>
    <row r="12" spans="1:9" ht="18">
      <c r="A12" s="11">
        <v>11</v>
      </c>
      <c r="B12" s="13">
        <f>Species!B12</f>
        <v>0</v>
      </c>
      <c r="C12" s="42">
        <f>Productivity11</f>
        <v>0</v>
      </c>
      <c r="D12" s="42">
        <f>Susceptibility11</f>
        <v>0</v>
      </c>
      <c r="E12" s="42">
        <f>Vulnerability11</f>
        <v>3.1622776601683795</v>
      </c>
      <c r="F12" s="70" t="str">
        <f t="shared" si="0"/>
        <v>Very High</v>
      </c>
      <c r="G12" t="e">
        <f>Data11</f>
        <v>#DIV/0!</v>
      </c>
      <c r="H12" t="e">
        <f>Pdata11</f>
        <v>#DIV/0!</v>
      </c>
      <c r="I12" s="20" t="e">
        <f>Sdata11</f>
        <v>#DIV/0!</v>
      </c>
    </row>
    <row r="13" spans="1:9" ht="18">
      <c r="A13" s="11">
        <v>12</v>
      </c>
      <c r="B13" s="13">
        <f>Species!B13</f>
        <v>0</v>
      </c>
      <c r="C13" s="42">
        <f>Productivity12</f>
        <v>0</v>
      </c>
      <c r="D13" s="42">
        <f>Susceptibility12</f>
        <v>0</v>
      </c>
      <c r="E13" s="42">
        <f>Vulnerability12</f>
        <v>3.1622776601683795</v>
      </c>
      <c r="F13" s="70" t="str">
        <f t="shared" si="0"/>
        <v>Very High</v>
      </c>
      <c r="G13" t="e">
        <f>Data12</f>
        <v>#DIV/0!</v>
      </c>
      <c r="H13" t="e">
        <f>Pdata12</f>
        <v>#DIV/0!</v>
      </c>
      <c r="I13" s="20" t="e">
        <f>Sdata12</f>
        <v>#DIV/0!</v>
      </c>
    </row>
    <row r="14" spans="1:9" ht="18">
      <c r="A14" s="11">
        <v>13</v>
      </c>
      <c r="B14" s="13">
        <f>Species!B14</f>
        <v>0</v>
      </c>
      <c r="C14" s="42">
        <f>Productivity13</f>
        <v>0</v>
      </c>
      <c r="D14" s="42">
        <f>Susceptibility13</f>
        <v>0</v>
      </c>
      <c r="E14" s="42">
        <f>Vulnerability13</f>
        <v>3.1622776601683795</v>
      </c>
      <c r="F14" s="70" t="str">
        <f t="shared" si="0"/>
        <v>Very High</v>
      </c>
      <c r="G14" t="e">
        <f>Data13</f>
        <v>#DIV/0!</v>
      </c>
      <c r="H14" t="e">
        <f>Pdata13</f>
        <v>#DIV/0!</v>
      </c>
      <c r="I14" s="20" t="e">
        <f>Sdata13</f>
        <v>#DIV/0!</v>
      </c>
    </row>
    <row r="15" spans="1:9" ht="18">
      <c r="A15" s="11">
        <v>14</v>
      </c>
      <c r="B15" s="13">
        <f>Species!B15</f>
        <v>0</v>
      </c>
      <c r="C15" s="42">
        <f>Productivity14</f>
        <v>0</v>
      </c>
      <c r="D15" s="42">
        <f>Susceptibility14</f>
        <v>0</v>
      </c>
      <c r="E15" s="42">
        <f>Vulnerability14</f>
        <v>3.1622776601683795</v>
      </c>
      <c r="F15" s="70" t="str">
        <f t="shared" si="0"/>
        <v>Very High</v>
      </c>
      <c r="G15" t="e">
        <f>Data14</f>
        <v>#DIV/0!</v>
      </c>
      <c r="H15" t="e">
        <f>Pdata14</f>
        <v>#DIV/0!</v>
      </c>
      <c r="I15" s="20" t="e">
        <f>Sdata14</f>
        <v>#DIV/0!</v>
      </c>
    </row>
    <row r="16" spans="1:9" ht="18">
      <c r="A16" s="11">
        <v>15</v>
      </c>
      <c r="B16" s="13">
        <f>Species!B16</f>
        <v>0</v>
      </c>
      <c r="C16" s="42">
        <f>Productivity15</f>
        <v>0</v>
      </c>
      <c r="D16" s="42">
        <f>Susceptibility15</f>
        <v>0</v>
      </c>
      <c r="E16" s="42">
        <f>Vulnerability15</f>
        <v>3.1622776601683795</v>
      </c>
      <c r="F16" s="70" t="str">
        <f t="shared" si="0"/>
        <v>Very High</v>
      </c>
      <c r="G16" t="e">
        <f>Data15</f>
        <v>#DIV/0!</v>
      </c>
      <c r="H16" t="e">
        <f>Pdata15</f>
        <v>#DIV/0!</v>
      </c>
      <c r="I16" s="20" t="e">
        <f>Sdata15</f>
        <v>#DIV/0!</v>
      </c>
    </row>
    <row r="17" spans="1:9" ht="18">
      <c r="A17" s="11">
        <v>16</v>
      </c>
      <c r="B17" s="13">
        <f>Species!B17</f>
        <v>0</v>
      </c>
      <c r="C17" s="42">
        <f>Productivity16</f>
        <v>0</v>
      </c>
      <c r="D17" s="42">
        <f>Susceptibility16</f>
        <v>0</v>
      </c>
      <c r="E17" s="42">
        <f>Vulnerability16</f>
        <v>3.1622776601683795</v>
      </c>
      <c r="F17" s="70" t="str">
        <f t="shared" si="0"/>
        <v>Very High</v>
      </c>
      <c r="G17" t="e">
        <f>Data16</f>
        <v>#DIV/0!</v>
      </c>
      <c r="H17" t="e">
        <f>Pdata16</f>
        <v>#DIV/0!</v>
      </c>
      <c r="I17" s="20" t="e">
        <f>Sdata16</f>
        <v>#DIV/0!</v>
      </c>
    </row>
    <row r="18" spans="1:9" ht="18">
      <c r="A18" s="11">
        <v>17</v>
      </c>
      <c r="B18" s="13">
        <f>Species!B18</f>
        <v>0</v>
      </c>
      <c r="C18" s="42">
        <f>Productivity17</f>
        <v>0</v>
      </c>
      <c r="D18" s="42">
        <f>Susceptibility17</f>
        <v>0</v>
      </c>
      <c r="E18" s="42">
        <f>Vulnerability17</f>
        <v>3.1622776601683795</v>
      </c>
      <c r="F18" s="70" t="str">
        <f t="shared" si="0"/>
        <v>Very High</v>
      </c>
      <c r="G18" t="e">
        <f>Data17</f>
        <v>#DIV/0!</v>
      </c>
      <c r="H18" t="e">
        <f>Pdata17</f>
        <v>#DIV/0!</v>
      </c>
      <c r="I18" s="20" t="e">
        <f>Sdata17</f>
        <v>#DIV/0!</v>
      </c>
    </row>
    <row r="19" spans="1:9" ht="18">
      <c r="A19" s="11">
        <v>18</v>
      </c>
      <c r="B19" s="13">
        <f>Species!B19</f>
        <v>0</v>
      </c>
      <c r="C19" s="42">
        <f>Productivity18</f>
        <v>0</v>
      </c>
      <c r="D19" s="42">
        <f>Susceptibility18</f>
        <v>0</v>
      </c>
      <c r="E19" s="42">
        <f>Vulnerability18</f>
        <v>3.1622776601683795</v>
      </c>
      <c r="F19" s="70" t="str">
        <f t="shared" si="0"/>
        <v>Very High</v>
      </c>
      <c r="G19" t="e">
        <f>Data18</f>
        <v>#DIV/0!</v>
      </c>
      <c r="H19" t="e">
        <f>Pdata18</f>
        <v>#DIV/0!</v>
      </c>
      <c r="I19" s="20" t="e">
        <f>Sdata18</f>
        <v>#DIV/0!</v>
      </c>
    </row>
    <row r="20" spans="1:9" ht="18">
      <c r="A20" s="11">
        <v>19</v>
      </c>
      <c r="B20" s="13">
        <f>Species!B20</f>
        <v>0</v>
      </c>
      <c r="C20" s="42">
        <f>Productivity19</f>
        <v>0</v>
      </c>
      <c r="D20" s="42">
        <f>Susceptibility19</f>
        <v>0</v>
      </c>
      <c r="E20" s="42">
        <f>Vulnerability19</f>
        <v>3.1622776601683795</v>
      </c>
      <c r="F20" s="70" t="str">
        <f t="shared" si="0"/>
        <v>Very High</v>
      </c>
      <c r="G20" t="e">
        <f>Data19</f>
        <v>#DIV/0!</v>
      </c>
      <c r="H20" t="e">
        <f>Pdata19</f>
        <v>#DIV/0!</v>
      </c>
      <c r="I20" s="20" t="e">
        <f>Sdata19</f>
        <v>#DIV/0!</v>
      </c>
    </row>
    <row r="21" spans="1:9" ht="18">
      <c r="A21" s="11">
        <v>20</v>
      </c>
      <c r="B21" s="13">
        <f>Species!B21</f>
        <v>0</v>
      </c>
      <c r="C21" s="42">
        <f>Productivity20</f>
        <v>0</v>
      </c>
      <c r="D21" s="42">
        <f>Susceptibility20</f>
        <v>0</v>
      </c>
      <c r="E21" s="42">
        <f>Vulnerability20</f>
        <v>3.1622776601683795</v>
      </c>
      <c r="F21" s="70" t="str">
        <f t="shared" si="0"/>
        <v>Very High</v>
      </c>
      <c r="G21" t="e">
        <f>Data20</f>
        <v>#DIV/0!</v>
      </c>
      <c r="H21" t="e">
        <f>Pdata20</f>
        <v>#DIV/0!</v>
      </c>
      <c r="I21" s="20" t="e">
        <f>Sdata20</f>
        <v>#DIV/0!</v>
      </c>
    </row>
    <row r="22" spans="1:9" ht="18">
      <c r="A22" s="11">
        <v>21</v>
      </c>
      <c r="B22" s="13">
        <f>Species!B22</f>
        <v>0</v>
      </c>
      <c r="C22" s="42">
        <f>Productivity21</f>
        <v>0</v>
      </c>
      <c r="D22" s="42">
        <f>Susceptibility21</f>
        <v>0</v>
      </c>
      <c r="E22" s="42">
        <f>Vulnerability21</f>
        <v>3.1622776601683795</v>
      </c>
      <c r="F22" s="70" t="str">
        <f t="shared" si="0"/>
        <v>Very High</v>
      </c>
      <c r="G22" t="e">
        <f>Data21</f>
        <v>#DIV/0!</v>
      </c>
      <c r="H22" t="e">
        <f>Pdata21</f>
        <v>#DIV/0!</v>
      </c>
      <c r="I22" s="20" t="e">
        <f>Sdata21</f>
        <v>#DIV/0!</v>
      </c>
    </row>
    <row r="23" spans="1:9" ht="18">
      <c r="A23" s="11">
        <v>22</v>
      </c>
      <c r="B23" s="13">
        <f>Species!B23</f>
        <v>0</v>
      </c>
      <c r="C23" s="42">
        <f>Productivity22</f>
        <v>0</v>
      </c>
      <c r="D23" s="42">
        <f>Susceptibility22</f>
        <v>0</v>
      </c>
      <c r="E23" s="42">
        <f>Vulnerability22</f>
        <v>3.1622776601683795</v>
      </c>
      <c r="F23" s="70" t="str">
        <f t="shared" si="0"/>
        <v>Very High</v>
      </c>
      <c r="G23" t="e">
        <f>Data22</f>
        <v>#DIV/0!</v>
      </c>
      <c r="H23" t="e">
        <f>Pdata22</f>
        <v>#DIV/0!</v>
      </c>
      <c r="I23" s="20" t="e">
        <f>Sdata22</f>
        <v>#DIV/0!</v>
      </c>
    </row>
    <row r="24" spans="1:9" ht="18">
      <c r="A24" s="11">
        <v>23</v>
      </c>
      <c r="B24" s="13">
        <f>Species!B24</f>
        <v>0</v>
      </c>
      <c r="C24" s="42">
        <f>Productivity23</f>
        <v>0</v>
      </c>
      <c r="D24" s="42">
        <f>Susceptibility23</f>
        <v>0</v>
      </c>
      <c r="E24" s="42">
        <f>Vulnerability23</f>
        <v>3.1622776601683795</v>
      </c>
      <c r="F24" s="70" t="str">
        <f t="shared" si="0"/>
        <v>Very High</v>
      </c>
      <c r="G24" t="e">
        <f>Data23</f>
        <v>#DIV/0!</v>
      </c>
      <c r="H24" t="e">
        <f>Pdata23</f>
        <v>#DIV/0!</v>
      </c>
      <c r="I24" s="20" t="e">
        <f>Sdata23</f>
        <v>#DIV/0!</v>
      </c>
    </row>
    <row r="25" spans="1:9" ht="18">
      <c r="A25" s="11">
        <v>24</v>
      </c>
      <c r="B25" s="13">
        <f>Species!B25</f>
        <v>0</v>
      </c>
      <c r="C25" s="42">
        <f>Productivity24</f>
        <v>0</v>
      </c>
      <c r="D25" s="42">
        <f>Susceptibility24</f>
        <v>0</v>
      </c>
      <c r="E25" s="42">
        <f>Vulnerability24</f>
        <v>3.1622776601683795</v>
      </c>
      <c r="F25" s="70" t="str">
        <f t="shared" si="0"/>
        <v>Very High</v>
      </c>
      <c r="G25" t="e">
        <f>Data24</f>
        <v>#DIV/0!</v>
      </c>
      <c r="H25" t="e">
        <f>Pdata24</f>
        <v>#DIV/0!</v>
      </c>
      <c r="I25" s="20" t="e">
        <f>Sdata24</f>
        <v>#DIV/0!</v>
      </c>
    </row>
    <row r="26" spans="1:9" ht="18">
      <c r="A26" s="11">
        <v>25</v>
      </c>
      <c r="B26" s="13">
        <f>Species!B26</f>
        <v>0</v>
      </c>
      <c r="C26" s="42">
        <f>productivity25</f>
        <v>0</v>
      </c>
      <c r="D26" s="42">
        <f>Susceptibility25</f>
        <v>0</v>
      </c>
      <c r="E26" s="42">
        <f>Vulnerability25</f>
        <v>3.1622776601683795</v>
      </c>
      <c r="F26" s="70" t="str">
        <f t="shared" si="0"/>
        <v>Very High</v>
      </c>
      <c r="G26" t="e">
        <f>Data25</f>
        <v>#DIV/0!</v>
      </c>
      <c r="H26" t="e">
        <f>Pdata25</f>
        <v>#DIV/0!</v>
      </c>
      <c r="I26" s="20" t="e">
        <f>Sdata25</f>
        <v>#DIV/0!</v>
      </c>
    </row>
    <row r="27" spans="1:9" ht="18">
      <c r="A27" s="11">
        <v>26</v>
      </c>
      <c r="B27" s="13">
        <f>Species!B27</f>
        <v>0</v>
      </c>
      <c r="C27" s="42">
        <f>productivity26</f>
        <v>0</v>
      </c>
      <c r="D27" s="42">
        <f>susceptibility26</f>
        <v>0</v>
      </c>
      <c r="E27" s="42">
        <f>Vulnerability26</f>
        <v>3.1622776601683795</v>
      </c>
      <c r="F27" s="70" t="str">
        <f t="shared" si="0"/>
        <v>Very High</v>
      </c>
      <c r="G27" t="e">
        <f>Data26</f>
        <v>#DIV/0!</v>
      </c>
      <c r="H27" t="e">
        <f>Pdata26</f>
        <v>#DIV/0!</v>
      </c>
      <c r="I27" s="20" t="e">
        <f>Sdata26</f>
        <v>#DIV/0!</v>
      </c>
    </row>
    <row r="28" spans="1:9" ht="18">
      <c r="A28" s="11">
        <v>27</v>
      </c>
      <c r="B28" s="13">
        <f>Species!B28</f>
        <v>0</v>
      </c>
      <c r="C28" s="42">
        <f>Productivity27</f>
        <v>0</v>
      </c>
      <c r="D28" s="42">
        <f>Susceptibility27</f>
        <v>0</v>
      </c>
      <c r="E28" s="42">
        <f>Vulnerability27</f>
        <v>3.1622776601683795</v>
      </c>
      <c r="F28" s="70" t="str">
        <f t="shared" si="0"/>
        <v>Very High</v>
      </c>
      <c r="G28" t="e">
        <f>Data27</f>
        <v>#DIV/0!</v>
      </c>
      <c r="H28" t="e">
        <f>Pdata27</f>
        <v>#DIV/0!</v>
      </c>
      <c r="I28" s="20" t="e">
        <f>Sdata27</f>
        <v>#DIV/0!</v>
      </c>
    </row>
    <row r="29" spans="1:9" ht="18">
      <c r="A29" s="11">
        <v>28</v>
      </c>
      <c r="B29" s="13">
        <f>Species!B29</f>
        <v>0</v>
      </c>
      <c r="C29" s="42">
        <f>Productivity28</f>
        <v>0</v>
      </c>
      <c r="D29" s="42">
        <f>Susceptibility28</f>
        <v>0</v>
      </c>
      <c r="E29" s="42">
        <f>Vulnerability28</f>
        <v>3.1622776601683795</v>
      </c>
      <c r="F29" s="70" t="str">
        <f t="shared" si="0"/>
        <v>Very High</v>
      </c>
      <c r="G29" t="e">
        <f>Data28</f>
        <v>#DIV/0!</v>
      </c>
      <c r="H29" t="e">
        <f>Pdata28</f>
        <v>#DIV/0!</v>
      </c>
      <c r="I29" s="20" t="e">
        <f>Sdata28</f>
        <v>#DIV/0!</v>
      </c>
    </row>
    <row r="30" spans="1:9" ht="18">
      <c r="A30" s="11">
        <v>29</v>
      </c>
      <c r="B30" s="13">
        <f>Species!B30</f>
        <v>0</v>
      </c>
      <c r="C30" s="42">
        <f>Productivity29</f>
        <v>0</v>
      </c>
      <c r="D30" s="42">
        <f>Susceptibility29</f>
        <v>0</v>
      </c>
      <c r="E30" s="42">
        <f>Vulnerability29</f>
        <v>3.1622776601683795</v>
      </c>
      <c r="F30" s="70" t="str">
        <f t="shared" si="0"/>
        <v>Very High</v>
      </c>
      <c r="G30" t="e">
        <f>Data29</f>
        <v>#DIV/0!</v>
      </c>
      <c r="H30" t="e">
        <f>Pdata29</f>
        <v>#DIV/0!</v>
      </c>
      <c r="I30" s="20" t="e">
        <f>Sdata29</f>
        <v>#DIV/0!</v>
      </c>
    </row>
    <row r="31" spans="1:9" ht="18">
      <c r="A31" s="11">
        <v>30</v>
      </c>
      <c r="B31" s="13">
        <f>Species!B31</f>
        <v>0</v>
      </c>
      <c r="C31" s="42">
        <f>Productivity30</f>
        <v>0</v>
      </c>
      <c r="D31" s="42">
        <f>Susceptibility30</f>
        <v>0</v>
      </c>
      <c r="E31" s="42">
        <f>Vulnerability30</f>
        <v>3.1622776601683795</v>
      </c>
      <c r="F31" s="70" t="str">
        <f t="shared" si="0"/>
        <v>Very High</v>
      </c>
      <c r="G31" t="e">
        <f>Data30</f>
        <v>#DIV/0!</v>
      </c>
      <c r="H31" t="e">
        <f>Pdata30</f>
        <v>#DIV/0!</v>
      </c>
      <c r="I31" s="20" t="e">
        <f>Sdata30</f>
        <v>#DIV/0!</v>
      </c>
    </row>
    <row r="32" spans="1:9" ht="18">
      <c r="A32" s="11">
        <v>31</v>
      </c>
      <c r="B32" s="13">
        <f>Species!B32</f>
        <v>0</v>
      </c>
      <c r="C32" s="42">
        <f>Productivity31</f>
        <v>0</v>
      </c>
      <c r="D32" s="42">
        <f>Susceptibility31</f>
        <v>0</v>
      </c>
      <c r="E32" s="42">
        <f>Vulnerability31</f>
        <v>3.1622776601683795</v>
      </c>
      <c r="F32" s="70" t="str">
        <f t="shared" si="0"/>
        <v>Very High</v>
      </c>
      <c r="G32" t="e">
        <f>Data31</f>
        <v>#DIV/0!</v>
      </c>
      <c r="H32" t="e">
        <f>Pdata31</f>
        <v>#DIV/0!</v>
      </c>
      <c r="I32" s="20" t="e">
        <f>Sdata31</f>
        <v>#DIV/0!</v>
      </c>
    </row>
    <row r="33" spans="1:9" ht="18">
      <c r="A33" s="11">
        <v>32</v>
      </c>
      <c r="B33" s="13">
        <f>Species!B33</f>
        <v>0</v>
      </c>
      <c r="C33" s="42">
        <f>Productivity32</f>
        <v>0</v>
      </c>
      <c r="D33" s="42">
        <f>Susceptibility32</f>
        <v>0</v>
      </c>
      <c r="E33" s="42">
        <f>Vulnerability32</f>
        <v>3.1622776601683795</v>
      </c>
      <c r="F33" s="70" t="str">
        <f t="shared" si="0"/>
        <v>Very High</v>
      </c>
      <c r="G33" t="e">
        <f>Data32</f>
        <v>#DIV/0!</v>
      </c>
      <c r="H33" t="e">
        <f>Pdata32</f>
        <v>#DIV/0!</v>
      </c>
      <c r="I33" s="20" t="e">
        <f>Sdata32</f>
        <v>#DIV/0!</v>
      </c>
    </row>
    <row r="34" spans="1:9" ht="18">
      <c r="A34" s="11">
        <v>33</v>
      </c>
      <c r="B34" s="13">
        <f>Species!B34</f>
        <v>0</v>
      </c>
      <c r="C34" s="42">
        <f>Productivity33</f>
        <v>0</v>
      </c>
      <c r="D34" s="42">
        <f>Susceptibility33</f>
        <v>0</v>
      </c>
      <c r="E34" s="42">
        <f>Vulnerability33</f>
        <v>3.1622776601683795</v>
      </c>
      <c r="F34" s="70" t="str">
        <f t="shared" si="0"/>
        <v>Very High</v>
      </c>
      <c r="G34" t="e">
        <f>Data33</f>
        <v>#DIV/0!</v>
      </c>
      <c r="H34" t="e">
        <f>Pdata33</f>
        <v>#DIV/0!</v>
      </c>
      <c r="I34" s="20" t="e">
        <f>Sdata33</f>
        <v>#DIV/0!</v>
      </c>
    </row>
    <row r="35" spans="1:9" ht="18">
      <c r="A35" s="11">
        <v>34</v>
      </c>
      <c r="B35" s="13">
        <f>Species!B35</f>
        <v>0</v>
      </c>
      <c r="C35" s="42">
        <f>Productivity34</f>
        <v>0</v>
      </c>
      <c r="D35" s="42">
        <f>Susceptibility34</f>
        <v>0</v>
      </c>
      <c r="E35" s="42">
        <f>Vulnerability34</f>
        <v>3.1622776601683795</v>
      </c>
      <c r="F35" s="70" t="str">
        <f t="shared" si="0"/>
        <v>Very High</v>
      </c>
      <c r="G35" t="e">
        <f>Data34</f>
        <v>#DIV/0!</v>
      </c>
      <c r="H35" t="e">
        <f>Pdata34</f>
        <v>#DIV/0!</v>
      </c>
      <c r="I35" s="20" t="e">
        <f>Sdata34</f>
        <v>#DIV/0!</v>
      </c>
    </row>
    <row r="36" spans="1:9" ht="18">
      <c r="A36" s="11">
        <v>35</v>
      </c>
      <c r="B36" s="13">
        <f>Species!B36</f>
        <v>0</v>
      </c>
      <c r="C36" s="42">
        <f>Productivity35</f>
        <v>0</v>
      </c>
      <c r="D36" s="42">
        <f>Susceptibility35</f>
        <v>0</v>
      </c>
      <c r="E36" s="42">
        <f>Vulnerability35</f>
        <v>3.1622776601683795</v>
      </c>
      <c r="F36" s="70" t="str">
        <f t="shared" si="0"/>
        <v>Very High</v>
      </c>
      <c r="G36" t="e">
        <f>Data35</f>
        <v>#DIV/0!</v>
      </c>
      <c r="H36" t="e">
        <f>Pdata35</f>
        <v>#DIV/0!</v>
      </c>
      <c r="I36" s="20" t="e">
        <f>Sdata35</f>
        <v>#DIV/0!</v>
      </c>
    </row>
    <row r="37" spans="1:9" ht="21.75" customHeight="1">
      <c r="A37" s="11">
        <v>36</v>
      </c>
      <c r="B37" s="13">
        <f>Species!B37</f>
        <v>0</v>
      </c>
      <c r="C37" s="42">
        <f>Productivity36</f>
        <v>0</v>
      </c>
      <c r="D37" s="42">
        <f>Susceptibility36</f>
        <v>0</v>
      </c>
      <c r="E37" s="42">
        <f>Vulnerability36</f>
        <v>3.1622776601683795</v>
      </c>
      <c r="F37" s="70" t="str">
        <f t="shared" si="0"/>
        <v>Very High</v>
      </c>
      <c r="G37" t="e">
        <f>Data36</f>
        <v>#DIV/0!</v>
      </c>
      <c r="H37" t="e">
        <f>Pdata36</f>
        <v>#DIV/0!</v>
      </c>
      <c r="I37" s="20" t="e">
        <f>Sdata36</f>
        <v>#DIV/0!</v>
      </c>
    </row>
    <row r="38" spans="1:9" ht="21.75" customHeight="1">
      <c r="A38" s="11">
        <v>37</v>
      </c>
      <c r="B38" s="13">
        <f>Species!B38</f>
        <v>0</v>
      </c>
      <c r="C38" s="42">
        <f>Productivity37</f>
        <v>0</v>
      </c>
      <c r="D38" s="42">
        <f>Susceptibility37</f>
        <v>0</v>
      </c>
      <c r="E38" s="42">
        <f>Vulnerability37</f>
        <v>3.1622776601683795</v>
      </c>
      <c r="F38" s="70" t="str">
        <f t="shared" si="0"/>
        <v>Very High</v>
      </c>
      <c r="G38" t="e">
        <f>Data37</f>
        <v>#DIV/0!</v>
      </c>
      <c r="H38" t="e">
        <f>Pdata37</f>
        <v>#DIV/0!</v>
      </c>
      <c r="I38" s="20" t="e">
        <f>Sdata37</f>
        <v>#DIV/0!</v>
      </c>
    </row>
    <row r="39" spans="1:9" ht="21.75" customHeight="1">
      <c r="A39" s="11">
        <v>38</v>
      </c>
      <c r="B39" s="13">
        <f>Species!B39</f>
        <v>0</v>
      </c>
      <c r="C39" s="42">
        <f>Productivity38</f>
        <v>0</v>
      </c>
      <c r="D39" s="42">
        <f>Susceptibility38</f>
        <v>0</v>
      </c>
      <c r="E39" s="42">
        <f>Vulnerability38</f>
        <v>3.1622776601683795</v>
      </c>
      <c r="F39" s="70" t="str">
        <f t="shared" si="0"/>
        <v>Very High</v>
      </c>
      <c r="G39" t="e">
        <f>Data38</f>
        <v>#DIV/0!</v>
      </c>
      <c r="H39" t="e">
        <f>Pdata38</f>
        <v>#DIV/0!</v>
      </c>
      <c r="I39" s="20" t="e">
        <f>Sdata38</f>
        <v>#DIV/0!</v>
      </c>
    </row>
    <row r="40" spans="1:9" ht="21.75" customHeight="1">
      <c r="A40" s="11">
        <v>39</v>
      </c>
      <c r="B40" s="13">
        <f>Species!B40</f>
        <v>0</v>
      </c>
      <c r="C40" s="42">
        <f>Productivity39</f>
        <v>0</v>
      </c>
      <c r="D40" s="42">
        <f>Susceptibility39</f>
        <v>0</v>
      </c>
      <c r="E40" s="42">
        <f>Vulnerability39</f>
        <v>3.1622776601683795</v>
      </c>
      <c r="F40" s="70" t="str">
        <f t="shared" si="0"/>
        <v>Very High</v>
      </c>
      <c r="G40" t="e">
        <f>Data39</f>
        <v>#DIV/0!</v>
      </c>
      <c r="H40" t="e">
        <f>Pdata39</f>
        <v>#DIV/0!</v>
      </c>
      <c r="I40" s="20" t="e">
        <f>Sdata39</f>
        <v>#DIV/0!</v>
      </c>
    </row>
    <row r="41" spans="1:13" ht="21.75" customHeight="1">
      <c r="A41" s="11">
        <v>40</v>
      </c>
      <c r="B41" s="13">
        <f>Species!B41</f>
        <v>0</v>
      </c>
      <c r="C41" s="42">
        <f>Productivity40</f>
        <v>0</v>
      </c>
      <c r="D41" s="42">
        <f>Susceptibility40</f>
        <v>0</v>
      </c>
      <c r="E41" s="42">
        <f>Vulnerability40</f>
        <v>3.1622776601683795</v>
      </c>
      <c r="F41" s="70" t="str">
        <f t="shared" si="0"/>
        <v>Very High</v>
      </c>
      <c r="G41" t="e">
        <f>Data40</f>
        <v>#DIV/0!</v>
      </c>
      <c r="H41" t="e">
        <f>Pdata40</f>
        <v>#DIV/0!</v>
      </c>
      <c r="I41" s="20" t="e">
        <f>Sdata40</f>
        <v>#DIV/0!</v>
      </c>
      <c r="K41" s="3" t="s">
        <v>42</v>
      </c>
      <c r="L41" s="3" t="s">
        <v>20</v>
      </c>
      <c r="M41" s="3" t="s">
        <v>21</v>
      </c>
    </row>
    <row r="42" spans="1:13" ht="32.25" customHeight="1">
      <c r="A42" s="11">
        <v>41</v>
      </c>
      <c r="B42" s="13">
        <f>Species!B42</f>
        <v>0</v>
      </c>
      <c r="C42" s="42">
        <f>Productivity41</f>
        <v>0</v>
      </c>
      <c r="D42" s="42">
        <f>Susceptibility41</f>
        <v>0</v>
      </c>
      <c r="E42" s="42">
        <f>Vulnerability41</f>
        <v>3.1622776601683795</v>
      </c>
      <c r="F42" s="70" t="str">
        <f t="shared" si="0"/>
        <v>Very High</v>
      </c>
      <c r="G42" t="e">
        <f>Data41</f>
        <v>#DIV/0!</v>
      </c>
      <c r="H42" t="e">
        <f>Pdata41</f>
        <v>#DIV/0!</v>
      </c>
      <c r="I42" s="20" t="e">
        <f>Sdata41</f>
        <v>#DIV/0!</v>
      </c>
      <c r="K42" s="62">
        <v>1</v>
      </c>
      <c r="L42" s="62" t="s">
        <v>142</v>
      </c>
      <c r="M42" s="63" t="s">
        <v>44</v>
      </c>
    </row>
    <row r="43" spans="1:13" ht="32.25" customHeight="1">
      <c r="A43" s="11">
        <v>42</v>
      </c>
      <c r="B43" s="13">
        <f>Species!B43</f>
        <v>0</v>
      </c>
      <c r="C43" s="42">
        <f>Productivity42</f>
        <v>0</v>
      </c>
      <c r="D43" s="42">
        <f>Susceptibility42</f>
        <v>0</v>
      </c>
      <c r="E43" s="42">
        <f>Vulnerability42</f>
        <v>3.1622776601683795</v>
      </c>
      <c r="F43" s="70" t="str">
        <f t="shared" si="0"/>
        <v>Very High</v>
      </c>
      <c r="G43" t="e">
        <f>Data42</f>
        <v>#DIV/0!</v>
      </c>
      <c r="H43" t="e">
        <f>Pdata42</f>
        <v>#DIV/0!</v>
      </c>
      <c r="I43" s="20" t="e">
        <f>Sdata42</f>
        <v>#DIV/0!</v>
      </c>
      <c r="K43" s="28">
        <v>2</v>
      </c>
      <c r="L43" s="28" t="s">
        <v>144</v>
      </c>
      <c r="M43" s="27" t="s">
        <v>43</v>
      </c>
    </row>
    <row r="44" spans="1:13" ht="32.25" customHeight="1">
      <c r="A44" s="11">
        <v>43</v>
      </c>
      <c r="B44" s="13">
        <f>Species!B44</f>
        <v>0</v>
      </c>
      <c r="C44" s="42">
        <f>Productivity43</f>
        <v>0</v>
      </c>
      <c r="D44" s="42">
        <f>Susceptibility43</f>
        <v>0</v>
      </c>
      <c r="E44" s="42">
        <f>Vulnerability43</f>
        <v>3.1622776601683795</v>
      </c>
      <c r="F44" s="70" t="str">
        <f t="shared" si="0"/>
        <v>Very High</v>
      </c>
      <c r="G44" t="e">
        <f>Data43</f>
        <v>#DIV/0!</v>
      </c>
      <c r="H44" t="e">
        <f>Pdata43</f>
        <v>#DIV/0!</v>
      </c>
      <c r="I44" s="20" t="e">
        <f>Sdata43</f>
        <v>#DIV/0!</v>
      </c>
      <c r="K44" s="66">
        <v>3</v>
      </c>
      <c r="L44" s="66" t="s">
        <v>145</v>
      </c>
      <c r="M44" s="67" t="s">
        <v>22</v>
      </c>
    </row>
    <row r="45" spans="1:13" ht="32.25" customHeight="1">
      <c r="A45" s="11">
        <v>44</v>
      </c>
      <c r="B45" s="13">
        <f>Species!B45</f>
        <v>0</v>
      </c>
      <c r="C45" s="42">
        <f>Productivity44</f>
        <v>0</v>
      </c>
      <c r="D45" s="42">
        <f>Susceptibility44</f>
        <v>0</v>
      </c>
      <c r="E45" s="42">
        <f>Vulnerability44</f>
        <v>3.1622776601683795</v>
      </c>
      <c r="F45" s="70" t="str">
        <f t="shared" si="0"/>
        <v>Very High</v>
      </c>
      <c r="G45" t="e">
        <f>Data44</f>
        <v>#DIV/0!</v>
      </c>
      <c r="H45" t="e">
        <f>Pdata44</f>
        <v>#DIV/0!</v>
      </c>
      <c r="I45" s="20" t="e">
        <f>Sdata44</f>
        <v>#DIV/0!</v>
      </c>
      <c r="K45" s="64">
        <v>4</v>
      </c>
      <c r="L45" s="64" t="s">
        <v>146</v>
      </c>
      <c r="M45" s="65" t="s">
        <v>23</v>
      </c>
    </row>
    <row r="46" spans="1:13" ht="32.25" customHeight="1">
      <c r="A46" s="11">
        <v>45</v>
      </c>
      <c r="B46" s="13">
        <f>Species!B46</f>
        <v>0</v>
      </c>
      <c r="C46" s="42">
        <f>Productivity45</f>
        <v>0</v>
      </c>
      <c r="D46" s="42">
        <f>Susceptibility45</f>
        <v>0</v>
      </c>
      <c r="E46" s="42">
        <f>Vulnerability45</f>
        <v>3.1622776601683795</v>
      </c>
      <c r="F46" s="70" t="str">
        <f t="shared" si="0"/>
        <v>Very High</v>
      </c>
      <c r="G46" t="e">
        <f>Data45</f>
        <v>#DIV/0!</v>
      </c>
      <c r="H46" t="e">
        <f>Pdata45</f>
        <v>#DIV/0!</v>
      </c>
      <c r="I46" s="20" t="e">
        <f>Sdata45</f>
        <v>#DIV/0!</v>
      </c>
      <c r="K46" s="64">
        <v>5</v>
      </c>
      <c r="L46" s="64" t="s">
        <v>147</v>
      </c>
      <c r="M46" s="65"/>
    </row>
    <row r="47" spans="1:9" ht="21.75" customHeight="1">
      <c r="A47" s="11">
        <v>46</v>
      </c>
      <c r="B47" s="13">
        <f>Species!B47</f>
        <v>0</v>
      </c>
      <c r="C47" s="42">
        <f>Productivity46</f>
        <v>0</v>
      </c>
      <c r="D47" s="42">
        <f>Susceptibility46</f>
        <v>0</v>
      </c>
      <c r="E47" s="42">
        <f>Vulnerability46</f>
        <v>3.1622776601683795</v>
      </c>
      <c r="F47" s="70" t="str">
        <f t="shared" si="0"/>
        <v>Very High</v>
      </c>
      <c r="G47" t="e">
        <f>Data46</f>
        <v>#DIV/0!</v>
      </c>
      <c r="H47" t="e">
        <f>Pdata46</f>
        <v>#DIV/0!</v>
      </c>
      <c r="I47" s="20" t="e">
        <f>Sdata46</f>
        <v>#DIV/0!</v>
      </c>
    </row>
    <row r="48" spans="1:9" ht="21.75" customHeight="1">
      <c r="A48" s="11">
        <v>47</v>
      </c>
      <c r="B48" s="13">
        <f>Species!B48</f>
        <v>0</v>
      </c>
      <c r="C48" s="42">
        <f>Productivity47</f>
        <v>0</v>
      </c>
      <c r="D48" s="42">
        <f>Susceptibility47</f>
        <v>0</v>
      </c>
      <c r="E48" s="42">
        <f>Vulnerability47</f>
        <v>3.1622776601683795</v>
      </c>
      <c r="F48" s="70" t="str">
        <f t="shared" si="0"/>
        <v>Very High</v>
      </c>
      <c r="G48" t="e">
        <f>Data47</f>
        <v>#DIV/0!</v>
      </c>
      <c r="H48" t="e">
        <f>Pdata47</f>
        <v>#DIV/0!</v>
      </c>
      <c r="I48" s="20" t="e">
        <f>Sdata47</f>
        <v>#DIV/0!</v>
      </c>
    </row>
    <row r="49" spans="1:9" ht="21.75" customHeight="1">
      <c r="A49" s="11">
        <v>48</v>
      </c>
      <c r="B49" s="13">
        <f>Species!B49</f>
        <v>0</v>
      </c>
      <c r="C49" s="42">
        <f>Productivity48</f>
        <v>0</v>
      </c>
      <c r="D49" s="42">
        <f>Susceptibility48</f>
        <v>0</v>
      </c>
      <c r="E49" s="42">
        <f>Vulnerability48</f>
        <v>3.1622776601683795</v>
      </c>
      <c r="F49" s="70" t="str">
        <f t="shared" si="0"/>
        <v>Very High</v>
      </c>
      <c r="G49" t="e">
        <f>Data48</f>
        <v>#DIV/0!</v>
      </c>
      <c r="H49" t="e">
        <f>Pdata48</f>
        <v>#DIV/0!</v>
      </c>
      <c r="I49" s="20" t="e">
        <f>Sdata48</f>
        <v>#DIV/0!</v>
      </c>
    </row>
    <row r="50" spans="1:9" ht="21.75" customHeight="1">
      <c r="A50" s="11">
        <v>49</v>
      </c>
      <c r="B50" s="13">
        <f>Species!B50</f>
        <v>0</v>
      </c>
      <c r="C50" s="42">
        <f>productivity49</f>
        <v>0</v>
      </c>
      <c r="D50" s="42">
        <f>Susceptibility49</f>
        <v>0</v>
      </c>
      <c r="E50" s="42">
        <f>Vulnerability49</f>
        <v>3.1622776601683795</v>
      </c>
      <c r="F50" s="70" t="str">
        <f t="shared" si="0"/>
        <v>Very High</v>
      </c>
      <c r="G50" t="e">
        <f>Data49</f>
        <v>#DIV/0!</v>
      </c>
      <c r="H50" t="e">
        <f>Pdata49</f>
        <v>#DIV/0!</v>
      </c>
      <c r="I50" s="20" t="e">
        <f>Sdata49</f>
        <v>#DIV/0!</v>
      </c>
    </row>
    <row r="51" spans="1:9" ht="21.75" customHeight="1">
      <c r="A51" s="11">
        <v>50</v>
      </c>
      <c r="B51" s="13">
        <f>Species!B51</f>
        <v>0</v>
      </c>
      <c r="C51" s="42">
        <f>Productivity50</f>
        <v>0</v>
      </c>
      <c r="D51" s="42">
        <f>Susceptibility50</f>
        <v>0</v>
      </c>
      <c r="E51" s="42">
        <f>Vulnerability50</f>
        <v>3.1622776601683795</v>
      </c>
      <c r="F51" s="70" t="str">
        <f t="shared" si="0"/>
        <v>Very High</v>
      </c>
      <c r="G51" t="e">
        <f>Data50</f>
        <v>#DIV/0!</v>
      </c>
      <c r="H51" t="e">
        <f>Pdata50</f>
        <v>#DIV/0!</v>
      </c>
      <c r="I51" s="20" t="e">
        <f>Sdata50</f>
        <v>#DIV/0!</v>
      </c>
    </row>
  </sheetData>
  <sheetProtection/>
  <conditionalFormatting sqref="C2:C36">
    <cfRule type="colorScale" priority="20" dxfId="0">
      <colorScale>
        <cfvo type="min" val="0"/>
        <cfvo type="percentile" val="50"/>
        <cfvo type="max"/>
        <color rgb="FF00B050"/>
        <color rgb="FFFFFF00"/>
        <color rgb="FFFF0000"/>
      </colorScale>
    </cfRule>
    <cfRule type="colorScale" priority="22" dxfId="0">
      <colorScale>
        <cfvo type="min" val="0"/>
        <cfvo type="percentile" val="50"/>
        <cfvo type="max"/>
        <color rgb="FF0070C0"/>
        <color rgb="FFFFFF00"/>
        <color rgb="FFFF0000"/>
      </colorScale>
    </cfRule>
    <cfRule type="colorScale" priority="24" dxfId="0">
      <colorScale>
        <cfvo type="min" val="0"/>
        <cfvo type="percentile" val="50"/>
        <cfvo type="max"/>
        <color rgb="FF0070C0"/>
        <color rgb="FFFFEB84"/>
        <color rgb="FFFF0000"/>
      </colorScale>
    </cfRule>
  </conditionalFormatting>
  <conditionalFormatting sqref="D2:D34 D36 E20">
    <cfRule type="colorScale" priority="23" dxfId="0">
      <colorScale>
        <cfvo type="min" val="0"/>
        <cfvo type="percentile" val="50"/>
        <cfvo type="max"/>
        <color rgb="FF0070C0"/>
        <color rgb="FFFFFF00"/>
        <color rgb="FFFF0000"/>
      </colorScale>
    </cfRule>
  </conditionalFormatting>
  <conditionalFormatting sqref="E2:E19 E21:E36">
    <cfRule type="colorScale" priority="21" dxfId="0">
      <colorScale>
        <cfvo type="min" val="0"/>
        <cfvo type="percentile" val="50"/>
        <cfvo type="max"/>
        <color rgb="FF0070C0"/>
        <color rgb="FFFFFF00"/>
        <color rgb="FFFF0000"/>
      </colorScale>
    </cfRule>
  </conditionalFormatting>
  <conditionalFormatting sqref="C2:C65536">
    <cfRule type="colorScale" priority="19" dxfId="0">
      <colorScale>
        <cfvo type="min" val="0"/>
        <cfvo type="percentile" val="50"/>
        <cfvo type="num" val="1.8"/>
        <color rgb="FFFF0000"/>
        <color rgb="FFFFFF00"/>
        <color rgb="FF00B050"/>
      </colorScale>
    </cfRule>
  </conditionalFormatting>
  <conditionalFormatting sqref="D2:D34 E20 D36:D65536">
    <cfRule type="colorScale" priority="18" dxfId="0">
      <colorScale>
        <cfvo type="min" val="0"/>
        <cfvo type="percentile" val="50"/>
        <cfvo type="num" val="2.3"/>
        <color rgb="FF00B050"/>
        <color rgb="FFFFFF00"/>
        <color rgb="FFFF0000"/>
      </colorScale>
    </cfRule>
  </conditionalFormatting>
  <conditionalFormatting sqref="F2:F65536">
    <cfRule type="colorScale" priority="17" dxfId="0">
      <colorScale>
        <cfvo type="min" val="0"/>
        <cfvo type="percentile" val="50"/>
        <cfvo type="formula" val="High"/>
        <color rgb="FFF8696B"/>
        <color rgb="FFFFEB84"/>
        <color rgb="FFFF0000"/>
      </colorScale>
    </cfRule>
  </conditionalFormatting>
  <conditionalFormatting sqref="E2:E19 E21:E65536">
    <cfRule type="colorScale" priority="16" dxfId="0">
      <colorScale>
        <cfvo type="min" val="0"/>
        <cfvo type="num" val="1.8"/>
        <cfvo type="num" val="2"/>
        <color rgb="FF00B050"/>
        <color rgb="FFFFFF00"/>
        <color rgb="FFFF0000"/>
      </colorScale>
    </cfRule>
  </conditionalFormatting>
  <conditionalFormatting sqref="E2:E51">
    <cfRule type="colorScale" priority="15" dxfId="0">
      <colorScale>
        <cfvo type="num" val="&quot;&lt;1.8&quot;"/>
        <cfvo type="num" val="1.8"/>
        <cfvo type="num" val="2"/>
        <color rgb="FF00B050"/>
        <color rgb="FFFFFF00"/>
        <color rgb="FFFF0000"/>
      </colorScale>
    </cfRule>
  </conditionalFormatting>
  <conditionalFormatting sqref="C2:C51">
    <cfRule type="colorScale" priority="11" dxfId="0">
      <colorScale>
        <cfvo type="min" val="0"/>
        <cfvo type="percentile" val="50"/>
        <cfvo type="max"/>
        <color rgb="FFFF0000"/>
        <color rgb="FFFFFF00"/>
        <color rgb="FF00B050"/>
      </colorScale>
    </cfRule>
    <cfRule type="colorScale" priority="13" dxfId="0">
      <colorScale>
        <cfvo type="min" val="0"/>
        <cfvo type="percentile" val="50"/>
        <cfvo type="max"/>
        <color rgb="FFFF0000"/>
        <color rgb="FFFFFF00"/>
        <color rgb="FF00B050"/>
      </colorScale>
    </cfRule>
    <cfRule type="colorScale" priority="14" dxfId="0">
      <colorScale>
        <cfvo type="min" val="0"/>
        <cfvo type="percentile" val="50"/>
        <cfvo type="max"/>
        <color rgb="FFFF0000"/>
        <color rgb="FFFFFF00"/>
        <color rgb="FF00B050"/>
      </colorScale>
    </cfRule>
  </conditionalFormatting>
  <conditionalFormatting sqref="D2:D51">
    <cfRule type="colorScale" priority="12" dxfId="0">
      <colorScale>
        <cfvo type="min" val="0"/>
        <cfvo type="percentile" val="50"/>
        <cfvo type="max"/>
        <color rgb="FF00B050"/>
        <color rgb="FFFFFF00"/>
        <color rgb="FFFF0000"/>
      </colorScale>
    </cfRule>
  </conditionalFormatting>
  <conditionalFormatting sqref="F2:F51">
    <cfRule type="colorScale" priority="10" dxfId="0">
      <colorScale>
        <cfvo type="num" val="0"/>
        <cfvo type="percentile" val="1.99"/>
        <cfvo type="num" val="2"/>
        <color rgb="FF00B050"/>
        <color rgb="FFFFFF00"/>
        <color rgb="FFFF0000"/>
      </colorScale>
    </cfRule>
  </conditionalFormatting>
  <conditionalFormatting sqref="G2:G51">
    <cfRule type="colorScale" priority="5" dxfId="0">
      <colorScale>
        <cfvo type="num" val="1"/>
        <cfvo type="num" val="2"/>
        <cfvo type="num" val="5"/>
        <color rgb="FF00B050"/>
        <color rgb="FFFFFF00"/>
        <color rgb="FFFF0000"/>
      </colorScale>
    </cfRule>
    <cfRule type="colorScale" priority="9" dxfId="0">
      <colorScale>
        <cfvo type="num" val="1"/>
        <cfvo type="percentile" val="50"/>
        <cfvo type="num" val="4"/>
        <color rgb="FF00B050"/>
        <color rgb="FFFFFF00"/>
        <color rgb="FFFF0000"/>
      </colorScale>
    </cfRule>
  </conditionalFormatting>
  <conditionalFormatting sqref="H2:H51">
    <cfRule type="colorScale" priority="6" dxfId="0">
      <colorScale>
        <cfvo type="num" val="1"/>
        <cfvo type="num" val="2"/>
        <cfvo type="num" val="5"/>
        <color rgb="FF00B050"/>
        <color rgb="FFFFFF00"/>
        <color rgb="FFFF0000"/>
      </colorScale>
    </cfRule>
    <cfRule type="colorScale" priority="8" dxfId="0">
      <colorScale>
        <cfvo type="num" val="1"/>
        <cfvo type="percentile" val="50"/>
        <cfvo type="num" val="4"/>
        <color rgb="FF00B050"/>
        <color rgb="FFFFFF00"/>
        <color rgb="FFFF0000"/>
      </colorScale>
    </cfRule>
  </conditionalFormatting>
  <conditionalFormatting sqref="I2:I51">
    <cfRule type="colorScale" priority="7" dxfId="0">
      <colorScale>
        <cfvo type="num" val="1"/>
        <cfvo type="num" val="2"/>
        <cfvo type="num" val="5"/>
        <color rgb="FF00B050"/>
        <color rgb="FFFFFF00"/>
        <color rgb="FFFF0000"/>
      </colorScale>
    </cfRule>
  </conditionalFormatting>
  <conditionalFormatting sqref="C1">
    <cfRule type="colorScale" priority="4" dxfId="0">
      <colorScale>
        <cfvo type="min" val="0"/>
        <cfvo type="percentile" val="50"/>
        <cfvo type="num" val="1.8"/>
        <color rgb="FFFF0000"/>
        <color rgb="FFFFFF00"/>
        <color rgb="FF00B050"/>
      </colorScale>
    </cfRule>
  </conditionalFormatting>
  <conditionalFormatting sqref="D1">
    <cfRule type="colorScale" priority="3" dxfId="0">
      <colorScale>
        <cfvo type="min" val="0"/>
        <cfvo type="percentile" val="50"/>
        <cfvo type="num" val="2.3"/>
        <color rgb="FF00B050"/>
        <color rgb="FFFFFF00"/>
        <color rgb="FFFF0000"/>
      </colorScale>
    </cfRule>
  </conditionalFormatting>
  <conditionalFormatting sqref="F1">
    <cfRule type="colorScale" priority="2" dxfId="0">
      <colorScale>
        <cfvo type="min" val="0"/>
        <cfvo type="percentile" val="50"/>
        <cfvo type="formula" val="High"/>
        <color rgb="FFF8696B"/>
        <color rgb="FFFFEB84"/>
        <color rgb="FFFF0000"/>
      </colorScale>
    </cfRule>
  </conditionalFormatting>
  <conditionalFormatting sqref="E1">
    <cfRule type="colorScale" priority="1" dxfId="0">
      <colorScale>
        <cfvo type="min" val="0"/>
        <cfvo type="num" val="1.8"/>
        <cfvo type="num" val="2"/>
        <color rgb="FF00B050"/>
        <color rgb="FFFFFF00"/>
        <color rgb="FFFF0000"/>
      </colorScale>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Kendra Karr;kkarredf@gmail.com</dc:creator>
  <cp:keywords/>
  <dc:description/>
  <cp:lastModifiedBy>Willow Battista</cp:lastModifiedBy>
  <cp:lastPrinted>2011-03-23T23:42:11Z</cp:lastPrinted>
  <dcterms:created xsi:type="dcterms:W3CDTF">2011-02-07T22:31:57Z</dcterms:created>
  <dcterms:modified xsi:type="dcterms:W3CDTF">2018-04-23T19:40:38Z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